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https://activity.echa.europa.eu/sites/act-16/process-16-0/docs/16.00.08 Teams/07. AHEE/01_Models/1_Model prep/ESDs_Excel/ESDs ECHA/02 To be published/2019_12_04_requested/"/>
    </mc:Choice>
  </mc:AlternateContent>
  <bookViews>
    <workbookView xWindow="0" yWindow="0" windowWidth="13680" windowHeight="6450" tabRatio="800"/>
  </bookViews>
  <sheets>
    <sheet name="Introduction" sheetId="21" r:id="rId1"/>
    <sheet name="Index" sheetId="20" r:id="rId2"/>
    <sheet name="PT6-detergents &amp; clean. fluids" sheetId="30" r:id="rId3"/>
    <sheet name="PT6-paints&amp;coatings" sheetId="32" r:id="rId4"/>
    <sheet name="PT6-paper" sheetId="34" r:id="rId5"/>
    <sheet name="PT6-textile" sheetId="36" r:id="rId6"/>
    <sheet name="PT6-leather" sheetId="37" r:id="rId7"/>
    <sheet name="PT6-fuels" sheetId="38" r:id="rId8"/>
    <sheet name="Pick-lists &amp; Defaults" sheetId="3" r:id="rId9"/>
  </sheets>
  <externalReferences>
    <externalReference r:id="rId10"/>
  </externalReferences>
  <definedNames>
    <definedName name="_1._Emission_scenario_for_calculating_the_direct_releases_to_soil_during_service_life_from_a_façade__ESD_Table_20__p.47____House_scenario__direct_emission_to_soil" localSheetId="3">'PT6-paints&amp;coatings'!$B$323</definedName>
    <definedName name="_1._Emission_scenario_for_calculating_the_release_from_drying_sections_after_size_pressing_and_coating__ESD_Table_23__p.52" localSheetId="4">'PT6-paper'!$B$94</definedName>
    <definedName name="_1._Emission_scenario_for_calculating_the_releases_from_a_façade_treated_by_sprayer__ESD_Table_17__p.43" localSheetId="3">'PT6-paints&amp;coatings'!$B$150</definedName>
    <definedName name="_1._Preservation_of_human_hygienic_products__use_area__soaps__shampoos_…" localSheetId="2">'PT6-detergents &amp; clean. fluids'!$B$158</definedName>
    <definedName name="_2._Emission_scenario_for_calculating_the_release_from__broke___ESD_Table_24__p.53" localSheetId="4">'PT6-paper'!$B$126</definedName>
    <definedName name="_2._Emission_scenario_for_calculating_the_releases_during_service_life_from_a_bridge__ESD_Table_21__p.47____Bridge_over_pond_scenario__direct_emission_to_surface_water" localSheetId="3">'PT6-paints&amp;coatings'!$B$390</definedName>
    <definedName name="_2._Emission_scenario_for_calculating_the_releases_from_a_façade_treated_with_roller_or_brush__ESD_Table_18__p.44" localSheetId="3">'PT6-paints&amp;coatings'!$B$226</definedName>
    <definedName name="_2._Preservation_of_washing_and_cleaning_fluids_for_professional_use__use_area__detergents_used_in_industry_for_large_surfaces__in_large_scale_laundry_…" localSheetId="2">'PT6-detergents &amp; clean. fluids'!$B$212</definedName>
    <definedName name="_2.1_Emission_scenario_for_calculating_the_release_of_preservatives_applied_in_professional_detergents_used_for_laundry_from_hospitals_in_washing_streets__ESD_Table_9__p.33" localSheetId="2">'PT6-detergents &amp; clean. fluids'!$B$214</definedName>
    <definedName name="_2.2_Emission_scenario_for_calculating_the_release_of_preservatives_used_in_professional_detergents_for_surface_cleaning_in_industrial_areas__ESD_Table_10__p.34" localSheetId="2">'PT6-detergents &amp; clean. fluids'!$B$247</definedName>
    <definedName name="_3._Preservation_of_washing_and_cleaning_fluids_for_non_professional_use__use_area__detergents_for_dish_washing__fabric_washing__surface_cleaning_…" localSheetId="2">'PT6-detergents &amp; clean. fluids'!$B$285</definedName>
    <definedName name="_3.1_Emission_scenario_for_calculating_the_release_of_preservatives_used_in_non_professional_detergents_for_fabric_washing__ESD_Table_11__p.34" localSheetId="2">'PT6-detergents &amp; clean. fluids'!$B$287</definedName>
    <definedName name="_3.2_Emission_scenario_for_calculating_the_release_of_preservatives_used_in_non_professional_detergents_for_dish_washing__ESD_Table_12__p.35" localSheetId="2">'PT6-detergents &amp; clean. fluids'!$B$324</definedName>
    <definedName name="_3.3_Emission_scenario_for_calculating_the_release_of_preservatives_used_in_detergents_for_sanitary_purposes_based_on_average_consumption__Table_13__p.xx" localSheetId="2">'PT6-detergents &amp; clean. fluids'!$B$355</definedName>
    <definedName name="_xlnm._FilterDatabase" localSheetId="8" hidden="1">'Pick-lists &amp; Defaults'!#REF!</definedName>
    <definedName name="_xlnm._FilterDatabase" localSheetId="2" hidden="1">'PT6-detergents &amp; clean. fluids'!#REF!</definedName>
    <definedName name="_xlnm._FilterDatabase" localSheetId="7" hidden="1">'PT6-fuels'!#REF!</definedName>
    <definedName name="_xlnm._FilterDatabase" localSheetId="6" hidden="1">'PT6-leather'!#REF!</definedName>
    <definedName name="_xlnm._FilterDatabase" localSheetId="3" hidden="1">'PT6-paints&amp;coatings'!#REF!</definedName>
    <definedName name="_xlnm._FilterDatabase" localSheetId="4" hidden="1">'PT6-paper'!#REF!</definedName>
    <definedName name="_xlnm._FilterDatabase" localSheetId="5" hidden="1">'PT6-textile'!#REF!</definedName>
    <definedName name="active_subst" localSheetId="2">'PT6-detergents &amp; clean. fluids'!$G$176</definedName>
    <definedName name="Area" localSheetId="2">'PT6-detergents &amp; clean. fluids'!$G$263</definedName>
    <definedName name="AREA_bridge" localSheetId="3">'PT6-paints&amp;coatings'!$G$400</definedName>
    <definedName name="AREA_facade" localSheetId="3">'PT6-paints&amp;coatings'!$G$333</definedName>
    <definedName name="Area_facade_roller_brush" localSheetId="3">'PT6-paints&amp;coatings'!$G$241</definedName>
    <definedName name="Area_facade_sprayer" localSheetId="3">'PT6-paints&amp;coatings'!$G$164</definedName>
    <definedName name="AREA_serv_life_city" localSheetId="3">'PT6-paints&amp;coatings'!$G$305</definedName>
    <definedName name="Cai" localSheetId="4">'PT6-paper'!$G$148</definedName>
    <definedName name="Cap" localSheetId="2">'PT6-detergents &amp; clean. fluids'!$G$226</definedName>
    <definedName name="Cdetergent" localSheetId="2">'PT6-detergents &amp; clean. fluids'!$G$230</definedName>
    <definedName name="Cform" localSheetId="2">'PT6-detergents &amp; clean. fluids'!$G$259</definedName>
    <definedName name="Cform_sanitary" localSheetId="2">'PT6-detergents &amp; clean. fluids'!$G$369</definedName>
    <definedName name="Cform_volume" localSheetId="2">'PT6-detergents &amp; clean. fluids'!$G$309</definedName>
    <definedName name="Cformvolume_dish" localSheetId="2">'PT6-detergents &amp; clean. fluids'!$G$340</definedName>
    <definedName name="Clocal_soil_runoff" localSheetId="3">'PT6-paints&amp;coatings'!$G$215</definedName>
    <definedName name="Clocal_soil_spraydrift_t1" localSheetId="3">'PT6-paints&amp;coatings'!$G$211</definedName>
    <definedName name="Clocal_soil_spraydrift_t2" localSheetId="3">'PT6-paints&amp;coatings'!$G$213</definedName>
    <definedName name="consumpt" localSheetId="2">'PT6-detergents &amp; clean. fluids'!$G$178</definedName>
    <definedName name="Consumption">'Pick-lists &amp; Defaults'!$B$58:$B$62</definedName>
    <definedName name="Csubstance" localSheetId="5">'PT6-textile'!$G$105</definedName>
    <definedName name="Default">'[1]Pick-lists &amp; Defaults'!$B$16:$B$17</definedName>
    <definedName name="DOSEliquid" localSheetId="2">'PT6-detergents &amp; clean. fluids'!$G$305</definedName>
    <definedName name="DOSEsoftener" localSheetId="2">'PT6-detergents &amp; clean. fluids'!$G$307</definedName>
    <definedName name="Elocal_drip_roll_facade" localSheetId="3">'PT6-paints&amp;coatings'!$G$259</definedName>
    <definedName name="Elocal_runoff_facade" localSheetId="3">'PT6-paints&amp;coatings'!$G$194</definedName>
    <definedName name="Elocal_soil_Time1" localSheetId="3">'PT6-paints&amp;coatings'!$G$359</definedName>
    <definedName name="Elocal_soil_Time2" localSheetId="3">'PT6-paints&amp;coatings'!$G$361</definedName>
    <definedName name="Elocal_soil_Time3" localSheetId="3">'PT6-paints&amp;coatings'!$G$363</definedName>
    <definedName name="Elocal_spray_drift_facade_t1" localSheetId="3">'PT6-paints&amp;coatings'!$G$190</definedName>
    <definedName name="Elocal_spray_drift_facade_t2" localSheetId="3">'PT6-paints&amp;coatings'!$G$192</definedName>
    <definedName name="Elocal_spray_facade_water" localSheetId="3">'PT6-paints&amp;coatings'!$G$198</definedName>
    <definedName name="Elocal_water_ep" localSheetId="5">'PT6-textile'!$G$124</definedName>
    <definedName name="Elocal_water_pp" localSheetId="5">'PT6-textile'!$G$125</definedName>
    <definedName name="Elocal_water_pt" localSheetId="5">'PT6-textile'!$G$123</definedName>
    <definedName name="Emission_estimates_for_general_public_use_of_decorative_paints__ESD_Table_16__p_41" localSheetId="3">'PT6-paints&amp;coatings'!$B$101</definedName>
    <definedName name="Emission_estimation_for_the_formulation_process_of_additives_used_in_the_leather_production__ESD_§_3.3.3.4.1" localSheetId="6">'PT6-leather'!$B$23</definedName>
    <definedName name="Emission_estimation_for_the_formulation_process_of_additives_used_in_the_paper_production__ESD_§_3.3.1.4.1" localSheetId="4">'PT6-paper'!$B$26</definedName>
    <definedName name="Emission_estimation_for_the_formulation_process_of_additives_used_in_the_textile_production__ESD_§_3.3.2.4.1" localSheetId="5">'PT6-textile'!$B$22</definedName>
    <definedName name="Emission_estimation_for_the_formulation_process_of_paints_and_coatings__ESD_§_3.2.4.1" localSheetId="3">'PT6-paints&amp;coatings'!$B$33</definedName>
    <definedName name="Emission_estimation_for_the_formulation_process_of_the_detergents_and_cleaning_fluids__ESD_§_3.1.4.1" localSheetId="2">'PT6-detergents &amp; clean. fluids'!$B$33</definedName>
    <definedName name="Emission_scenario_for_calculating_the_release_from_chemicals_used_in_textile_processing___ESD_§_3.3.2.4.2" localSheetId="5">'PT6-textile'!$B$88</definedName>
    <definedName name="Emission_scenario_for_calculating_the_release_from_chemicals_used_in_textile_processing___ESD_§_3.3.3.4.2____consumption_based" localSheetId="6">'PT6-leather'!$B$118</definedName>
    <definedName name="Emission_scenario_for_calculating_the_release_from_chemicals_used_in_textile_processing___ESD_§_3.3.3.4.2____tonnage_based" localSheetId="6">'PT6-leather'!$B$73</definedName>
    <definedName name="Emission_scenario_for_calculating_the_release_of_disinfectants_used_in_human_hygiene_biocidal_products__for_private_use__based_on_the_annual_tonnage_applied__ESD_Table_7__p_30" localSheetId="2">'PT6-detergents &amp; clean. fluids'!$B$83</definedName>
    <definedName name="Emission_scenario_for_calculating_the_release_of_disinfectants_used_in_human_hygiene_biocidal_products_for_professional_use_based_on_the_annual_tonnage_applied__ESD_Table_7__p._30" localSheetId="2">'PT6-detergents &amp; clean. fluids'!$B$119</definedName>
    <definedName name="Emission_scenario_for_calculating_the_releases_during_service_life_from_a_façade__ESD_Table_19__p.46____City_scenario" localSheetId="3">'PT6-paints&amp;coatings'!$B$281</definedName>
    <definedName name="Emission_scenario_for_paper_recycling__ESD_Table_25__p.53" localSheetId="4">'PT6-paper'!$B$169</definedName>
    <definedName name="Fai" localSheetId="4">'PT6-paper'!$G$146</definedName>
    <definedName name="Fai_roller_brush" localSheetId="3">'PT6-paints&amp;coatings'!$G$245</definedName>
    <definedName name="Fai_sprayer" localSheetId="3">'PT6-paints&amp;coatings'!$G$168</definedName>
    <definedName name="Fair_form" localSheetId="3">'PT6-paints&amp;coatings'!$G$65</definedName>
    <definedName name="Fair_formulation" localSheetId="7">'PT6-fuels'!$G$44</definedName>
    <definedName name="Fair_formulation" localSheetId="6">'PT6-leather'!$G$56</definedName>
    <definedName name="Fair_formulation" localSheetId="4">'PT6-paper'!$G$58</definedName>
    <definedName name="Fair_formulation" localSheetId="5">'PT6-textile'!$G$54</definedName>
    <definedName name="Fair_ref" localSheetId="3">'PT6-paints&amp;coatings'!$G$71</definedName>
    <definedName name="Fair_ref" localSheetId="4">'PT6-paper'!$G$64</definedName>
    <definedName name="Fair_ref" localSheetId="5">'PT6-textile'!$G$60</definedName>
    <definedName name="Fair_ton" localSheetId="3">'PT6-paints&amp;coatings'!$G$125</definedName>
    <definedName name="Fbroke" localSheetId="4">'PT6-paper'!$G$152</definedName>
    <definedName name="Fchem_form" localSheetId="2">'PT6-detergents &amp; clean. fluids'!$G$53</definedName>
    <definedName name="Fchem_form_formulation" localSheetId="7">'PT6-fuels'!$G$31</definedName>
    <definedName name="Fchem_form_formulation" localSheetId="6">'PT6-leather'!$G$42</definedName>
    <definedName name="Fchem_form_formulation" localSheetId="3">'PT6-paints&amp;coatings'!$G$53</definedName>
    <definedName name="Fchem_form_formulation" localSheetId="4">'PT6-paper'!$G$46</definedName>
    <definedName name="Fchem_form_formulation" localSheetId="5">'PT6-textile'!$G$42</definedName>
    <definedName name="Fchemform_application" localSheetId="6">'PT6-leather'!$G$92</definedName>
    <definedName name="Fclosure" localSheetId="4">'PT6-paper'!$G$150</definedName>
    <definedName name="Fconc" localSheetId="2">'PT6-detergents &amp; clean. fluids'!$G$261</definedName>
    <definedName name="Fdecomp" localSheetId="4">'PT6-paper'!$G$192</definedName>
    <definedName name="Fdecomp_drying" localSheetId="4">'PT6-paper'!$G$113</definedName>
    <definedName name="Fdeinking" localSheetId="4">'PT6-paper'!$G$190</definedName>
    <definedName name="Fdep" localSheetId="3">'PT6-paints&amp;coatings'!$G$176</definedName>
    <definedName name="Fdis" localSheetId="2">'PT6-detergents &amp; clean. fluids'!$G$267</definedName>
    <definedName name="Fdis_prof" localSheetId="2">'PT6-detergents &amp; clean. fluids'!$G$137</definedName>
    <definedName name="Fdis_sanitary" localSheetId="2">'PT6-detergents &amp; clean. fluids'!$G$373</definedName>
    <definedName name="Fdis_ton_priv" localSheetId="2">'PT6-detergents &amp; clean. fluids'!$G$101</definedName>
    <definedName name="Fdrift" localSheetId="3">'PT6-paints&amp;coatings'!$G$172</definedName>
    <definedName name="Fdripping" localSheetId="3">'PT6-paints&amp;coatings'!$G$249</definedName>
    <definedName name="Fevap" localSheetId="4">'PT6-paper'!$G$111</definedName>
    <definedName name="Ffix" localSheetId="4">'PT6-paper'!$G$154</definedName>
    <definedName name="Ffix_1" localSheetId="6">'PT6-leather'!$G$145</definedName>
    <definedName name="Ffix_2" localSheetId="6">'PT6-leather'!$G$156</definedName>
    <definedName name="Ffix_3" localSheetId="6">'PT6-leather'!$G$167</definedName>
    <definedName name="Ffix_4" localSheetId="6">'PT6-leather'!$G$178</definedName>
    <definedName name="Ffixation_ep" localSheetId="5">'PT6-textile'!$G$109</definedName>
    <definedName name="Ffixation_pp" localSheetId="5">'PT6-textile'!$G$110</definedName>
    <definedName name="Ffixation_pt" localSheetId="5">'PT6-textile'!$G$108</definedName>
    <definedName name="fhouse" localSheetId="3">'PT6-paints&amp;coatings'!$G$299</definedName>
    <definedName name="Fin_can" localSheetId="6">'PT6-leather'!$G$132</definedName>
    <definedName name="Finh" localSheetId="2">'PT6-detergents &amp; clean. fluids'!$G$182</definedName>
    <definedName name="Fliquid" localSheetId="2">'PT6-detergents &amp; clean. fluids'!$G$303</definedName>
    <definedName name="Fmainsource" localSheetId="4">'PT6-paper'!$G$186</definedName>
    <definedName name="Fmainsource_application" localSheetId="6">'PT6-leather'!$G$98</definedName>
    <definedName name="Fmainsource_form" localSheetId="2">'PT6-detergents &amp; clean. fluids'!$G$59</definedName>
    <definedName name="Fmainsource_formulation" localSheetId="7">'PT6-fuels'!$G$37</definedName>
    <definedName name="Fmainsource_formulation" localSheetId="6">'PT6-leather'!$G$48</definedName>
    <definedName name="Fmainsource_formulation" localSheetId="3">'PT6-paints&amp;coatings'!$G$59</definedName>
    <definedName name="Fmainsource_formulation" localSheetId="4">'PT6-paper'!$G$52</definedName>
    <definedName name="Fmainsource_formulation" localSheetId="5">'PT6-textile'!$G$48</definedName>
    <definedName name="Fmainsource_priv" localSheetId="2">'PT6-detergents &amp; clean. fluids'!$G$99</definedName>
    <definedName name="Fmainsource_prof" localSheetId="2">'PT6-detergents &amp; clean. fluids'!$G$135</definedName>
    <definedName name="Fmainsource_ton" localSheetId="3">'PT6-paints&amp;coatings'!$G$121</definedName>
    <definedName name="Fon_site_treat" localSheetId="6">'PT6-leather'!$G$134</definedName>
    <definedName name="Fpen" localSheetId="6">'PT6-leather'!$G$136</definedName>
    <definedName name="Fpenetr" localSheetId="5">'PT6-textile'!$G$116</definedName>
    <definedName name="Fpenetr_dish" localSheetId="2">'PT6-detergents &amp; clean. fluids'!$G$342</definedName>
    <definedName name="Fpenetr_fabric" localSheetId="2">'PT6-detergents &amp; clean. fluids'!$G$311</definedName>
    <definedName name="Fpenetr_hosp" localSheetId="2">'PT6-detergents &amp; clean. fluids'!$G$234</definedName>
    <definedName name="Fpenetr_ind" localSheetId="2">'PT6-detergents &amp; clean. fluids'!$G$271</definedName>
    <definedName name="Fpenetr_priv" localSheetId="2">'PT6-detergents &amp; clean. fluids'!$G$184</definedName>
    <definedName name="Fpenetr_sanitary" localSheetId="2">'PT6-detergents &amp; clean. fluids'!$G$375</definedName>
    <definedName name="Fpreliminary" localSheetId="4">'PT6-paper'!$G$194</definedName>
    <definedName name="Fprod_1" localSheetId="6">'PT6-leather'!$G$147</definedName>
    <definedName name="Fprod_2" localSheetId="6">'PT6-leather'!$G$158</definedName>
    <definedName name="Fprod_3" localSheetId="6">'PT6-leather'!$G$169</definedName>
    <definedName name="Fprod_4" localSheetId="6">'PT6-leather'!$G$180</definedName>
    <definedName name="Fproduct" localSheetId="5">'PT6-textile'!$G$112</definedName>
    <definedName name="Fprodvol_reg_priv" localSheetId="2">'PT6-detergents &amp; clean. fluids'!$G$95</definedName>
    <definedName name="Fprodvolreg_prof" localSheetId="2">'PT6-detergents &amp; clean. fluids'!$G$131</definedName>
    <definedName name="Frecycling" localSheetId="4">'PT6-paper'!$G$188</definedName>
    <definedName name="Fred" localSheetId="2">'PT6-detergents &amp; clean. fluids'!$G$232</definedName>
    <definedName name="Freg" localSheetId="4">'PT6-paper'!$G$182</definedName>
    <definedName name="Freg_application" localSheetId="6">'PT6-leather'!$G$88</definedName>
    <definedName name="Freg_formulation" localSheetId="2">'PT6-detergents &amp; clean. fluids'!$G$49</definedName>
    <definedName name="Freg_formulation" localSheetId="7">'PT6-fuels'!$G$27</definedName>
    <definedName name="Freg_formulation" localSheetId="6">'PT6-leather'!$G$38</definedName>
    <definedName name="Freg_formulation" localSheetId="3">'PT6-paints&amp;coatings'!$G$49</definedName>
    <definedName name="Freg_formulation" localSheetId="4">'PT6-paper'!$G$42</definedName>
    <definedName name="Freg_formulation" localSheetId="5">'PT6-textile'!$G$38</definedName>
    <definedName name="Freg_ton" localSheetId="3">'PT6-paints&amp;coatings'!$G$117</definedName>
    <definedName name="Fremaining_1" localSheetId="6">'PT6-leather'!$G$141</definedName>
    <definedName name="Fremaining_2" localSheetId="6">'PT6-leather'!$G$152</definedName>
    <definedName name="Fremaining_3" localSheetId="6">'PT6-leather'!$G$163</definedName>
    <definedName name="Fremaining_4" localSheetId="6">'PT6-leather'!$G$174</definedName>
    <definedName name="Fresidual_liquor" localSheetId="5">'PT6-textile'!$G$114</definedName>
    <definedName name="Frunoff" localSheetId="3">'PT6-paints&amp;coatings'!$G$174</definedName>
    <definedName name="Fsoil_form" localSheetId="3">'PT6-paints&amp;coatings'!$G$67</definedName>
    <definedName name="Fsoil_formulation" localSheetId="7">'PT6-fuels'!$G$46</definedName>
    <definedName name="Fsoil_formulation" localSheetId="6">'PT6-leather'!$G$58</definedName>
    <definedName name="Fsoil_formulation" localSheetId="4">'PT6-paper'!$G$60</definedName>
    <definedName name="Fsoil_formulation" localSheetId="5">'PT6-textile'!$G$56</definedName>
    <definedName name="Fsoil_ref" localSheetId="3">'PT6-paints&amp;coatings'!$G$73</definedName>
    <definedName name="Fsoil_ref" localSheetId="4">'PT6-paper'!$G$66</definedName>
    <definedName name="Fsoil_ref" localSheetId="5">'PT6-textile'!$G$62</definedName>
    <definedName name="Fwaste_ton" localSheetId="3">'PT6-paints&amp;coatings'!#REF!</definedName>
    <definedName name="Fwater_dish" localSheetId="2">'PT6-detergents &amp; clean. fluids'!$G$338</definedName>
    <definedName name="Fwater_fabric" localSheetId="2">'PT6-detergents &amp; clean. fluids'!$G$301</definedName>
    <definedName name="Fwater_form" localSheetId="2">'PT6-detergents &amp; clean. fluids'!$G$63</definedName>
    <definedName name="Fwater_form" localSheetId="3">'PT6-paints&amp;coatings'!$G$63</definedName>
    <definedName name="Fwater_formulation" localSheetId="7">'PT6-fuels'!$G$41</definedName>
    <definedName name="Fwater_formulation" localSheetId="6">'PT6-leather'!$G$52</definedName>
    <definedName name="Fwater_formulation" localSheetId="4">'PT6-paper'!$G$56</definedName>
    <definedName name="Fwater_formulation" localSheetId="5">'PT6-textile'!$G$52</definedName>
    <definedName name="Fwater_ind" localSheetId="2">'PT6-detergents &amp; clean. fluids'!$G$269</definedName>
    <definedName name="Fwater_priv" localSheetId="2">'PT6-detergents &amp; clean. fluids'!$G$174</definedName>
    <definedName name="Fwater_prof" localSheetId="2">'PT6-detergents &amp; clean. fluids'!$G$139</definedName>
    <definedName name="Fwater_ref" localSheetId="6">'PT6-leather'!$G$54</definedName>
    <definedName name="Fwater_ref" localSheetId="3">'PT6-paints&amp;coatings'!$G$69</definedName>
    <definedName name="Fwater_ref" localSheetId="4">'PT6-paper'!$G$62</definedName>
    <definedName name="Fwater_ref" localSheetId="5">'PT6-textile'!$G$58</definedName>
    <definedName name="Fwater_refined" localSheetId="2">'PT6-detergents &amp; clean. fluids'!$G$65</definedName>
    <definedName name="Fwater_sanitary" localSheetId="2">'PT6-detergents &amp; clean. fluids'!$G$367</definedName>
    <definedName name="Fwater_ton" localSheetId="3">'PT6-paints&amp;coatings'!$G$129</definedName>
    <definedName name="Fwater_ton_priv" localSheetId="2">'PT6-detergents &amp; clean. fluids'!$G$103</definedName>
    <definedName name="in_can" localSheetId="4">'PT6-paper'!$E$138</definedName>
    <definedName name="k" localSheetId="3">'PT6-paints&amp;coatings'!$G$353</definedName>
    <definedName name="Ksoil_water" localSheetId="3">'PT6-paints&amp;coatings'!$G$351</definedName>
    <definedName name="Leather_1" localSheetId="6">'PT6-leather'!$C$141</definedName>
    <definedName name="Leather_2" localSheetId="6">'PT6-leather'!$C$152</definedName>
    <definedName name="Leather_3" localSheetId="6">'PT6-leather'!$C$163</definedName>
    <definedName name="Leather_4" localSheetId="6">'PT6-leather'!$C$174</definedName>
    <definedName name="Nappl_ind" localSheetId="2">'PT6-detergents &amp; clean. fluids'!$G$265</definedName>
    <definedName name="Nappl_priv" localSheetId="2">'PT6-detergents &amp; clean. fluids'!$G$180</definedName>
    <definedName name="Nd" localSheetId="4">'PT6-paper'!$G$196</definedName>
    <definedName name="Nhouse" localSheetId="2">'PT6-detergents &amp; clean. fluids'!$G$297</definedName>
    <definedName name="Nhouse" localSheetId="3">'PT6-paints&amp;coatings'!$G$297</definedName>
    <definedName name="Nhouse_initial" localSheetId="3">'PT6-paints&amp;coatings'!$G$311</definedName>
    <definedName name="Nhouse_longer" localSheetId="3">'PT6-paints&amp;coatings'!$G$313</definedName>
    <definedName name="nhouses_app_city" localSheetId="3">'PT6-paints&amp;coatings'!$G$160</definedName>
    <definedName name="nhouses_app_countryside" localSheetId="3">'PT6-paints&amp;coatings'!$G$162</definedName>
    <definedName name="nhouses_applic_city" localSheetId="3">'PT6-paints&amp;coatings'!$G$237</definedName>
    <definedName name="nhouses_applic_countryside" localSheetId="3">'PT6-paints&amp;coatings'!$G$239</definedName>
    <definedName name="Nlocal_dish" localSheetId="2">'PT6-detergents &amp; clean. fluids'!$G$334</definedName>
    <definedName name="Nlocal_priv" localSheetId="2">'PT6-detergents &amp; clean. fluids'!$G$172</definedName>
    <definedName name="Nlocal_sanitary" localSheetId="2">'PT6-detergents &amp; clean. fluids'!$G$365</definedName>
    <definedName name="Nm" localSheetId="2">'PT6-detergents &amp; clean. fluids'!$G$224</definedName>
    <definedName name="Nwash" localSheetId="2">'PT6-detergents &amp; clean. fluids'!$G$299</definedName>
    <definedName name="paper">'Pick-lists &amp; Defaults'!$B$126:$B$129</definedName>
    <definedName name="product_form" localSheetId="2">'PT6-detergents &amp; clean. fluids'!$C$63</definedName>
    <definedName name="ProductForm">'Pick-lists &amp; Defaults'!$B$52:$B$54</definedName>
    <definedName name="prof_amateurs">'Pick-lists &amp; Defaults'!$B$79:$B$81</definedName>
    <definedName name="Q_coat" localSheetId="3">'PT6-paints&amp;coatings'!$G$113</definedName>
    <definedName name="Qactive" localSheetId="4">'PT6-paper'!$G$109</definedName>
    <definedName name="Qadditive" localSheetId="4">'PT6-paper'!$G$144</definedName>
    <definedName name="Qapplic_roller_brush" localSheetId="3">'PT6-paints&amp;coatings'!$G$243</definedName>
    <definedName name="Qapplic_sprayer" localSheetId="3">'PT6-paints&amp;coatings'!$G$166</definedName>
    <definedName name="Qform_1" localSheetId="6">'PT6-leather'!$G$143</definedName>
    <definedName name="Qform_2" localSheetId="6">'PT6-leather'!$G$154</definedName>
    <definedName name="Qform_3" localSheetId="6">'PT6-leather'!$G$165</definedName>
    <definedName name="Qform_4" localSheetId="6">'PT6-leather'!$G$176</definedName>
    <definedName name="Qform_sanitary" localSheetId="2">'PT6-detergents &amp; clean. fluids'!$G$371</definedName>
    <definedName name="Qinit_coat" localSheetId="3">'PT6-paints&amp;coatings'!$G$115</definedName>
    <definedName name="Qleach_time1" localSheetId="3">'PT6-paints&amp;coatings'!$G$301</definedName>
    <definedName name="Qleach_time1_bridge" localSheetId="3">'PT6-paints&amp;coatings'!$G$408</definedName>
    <definedName name="Qleach_time1_soil" localSheetId="3">'PT6-paints&amp;coatings'!$G$341</definedName>
    <definedName name="Qleach_time2" localSheetId="3">'PT6-paints&amp;coatings'!$G$303</definedName>
    <definedName name="Qleach_time2_bridge" localSheetId="3">'PT6-paints&amp;coatings'!$G$410</definedName>
    <definedName name="Qleach_time2_soil" localSheetId="3">'PT6-paints&amp;coatings'!$G$343</definedName>
    <definedName name="Qleach_time3_bridge">'PT6-paints&amp;coatings'!$G$412</definedName>
    <definedName name="Qleach_time3_soil" localSheetId="3">'PT6-paints&amp;coatings'!$G$345</definedName>
    <definedName name="Qpaper" localSheetId="4">'PT6-paper'!$G$142</definedName>
    <definedName name="Qpaper_papermaking" localSheetId="4">'PT6-paper'!$G$107</definedName>
    <definedName name="Qproduct_ep" localSheetId="5">'PT6-textile'!$G$102</definedName>
    <definedName name="Qproduct_pp" localSheetId="5">'PT6-textile'!$G$103</definedName>
    <definedName name="Qproduct_pt" localSheetId="5">'PT6-textile'!$G$101</definedName>
    <definedName name="Qrawhide" localSheetId="6">'PT6-leather'!$G$130</definedName>
    <definedName name="Qtextile" localSheetId="5">'PT6-textile'!$G$98</definedName>
    <definedName name="RELEASEwater" localSheetId="6">'PT6-leather'!$G$102</definedName>
    <definedName name="RHOform_priv" localSheetId="2">'PT6-detergents &amp; clean. fluids'!$G$186</definedName>
    <definedName name="RHOprod_roller_brush" localSheetId="3">'PT6-paints&amp;coatings'!$G$247</definedName>
    <definedName name="RHOprod_sprayer" localSheetId="3">'PT6-paints&amp;coatings'!$G$170</definedName>
    <definedName name="RHOsoil" localSheetId="3">'PT6-paints&amp;coatings'!$G$349</definedName>
    <definedName name="RHOsoil_roller_brush" localSheetId="3">'PT6-paints&amp;coatings'!$G$253</definedName>
    <definedName name="RHOsoil_sprayer" localSheetId="3">'PT6-paints&amp;coatings'!$G$184</definedName>
    <definedName name="Select_form_of_product">'Pick-lists &amp; Defaults'!$B$32:$B$36</definedName>
    <definedName name="Select_leather_type">'Pick-lists &amp; Defaults'!$B$199:$B$203</definedName>
    <definedName name="select_paper" localSheetId="4">'PT6-paper'!$C$140</definedName>
    <definedName name="Select_solubility">'Pick-lists &amp; Defaults'!$B$186:$B$188</definedName>
    <definedName name="Select_tonnage" localSheetId="6">'PT6-leather'!$E$96</definedName>
    <definedName name="Select_tonnage_range" localSheetId="7">'PT6-fuels'!$E$35</definedName>
    <definedName name="Select_tonnage_range" localSheetId="6">'PT6-leather'!$E$46</definedName>
    <definedName name="Select_tonnage_range" localSheetId="4">'PT6-paper'!$E$50</definedName>
    <definedName name="Select_tonnage_range" localSheetId="5">'PT6-textile'!$E$46</definedName>
    <definedName name="Select_treat_step1" localSheetId="6">'PT6-leather'!$C$139</definedName>
    <definedName name="Select_treat_step2" localSheetId="6">'PT6-leather'!$C$150</definedName>
    <definedName name="Select_treat_step3" localSheetId="6">'PT6-leather'!$C$161</definedName>
    <definedName name="Select_treat_step4" localSheetId="6">'PT6-leather'!$C$172</definedName>
    <definedName name="Select_type_of_paper">'Pick-lists &amp; Defaults'!$B$108:$B$114</definedName>
    <definedName name="Solubility" localSheetId="6">'PT6-leather'!$C$102</definedName>
    <definedName name="solubility">'Pick-lists &amp; Defaults'!$B$137:$B$139</definedName>
    <definedName name="Spreadsheet_index__click_on_the_title_to_be_directed_to_the_sub_scenario" localSheetId="3">'PT6-paints&amp;coatings'!$B$6</definedName>
    <definedName name="step">'[1]Pick-lists &amp; Defaults'!$B$6:$B$11</definedName>
    <definedName name="Temission_application" localSheetId="6">'PT6-leather'!$G$100</definedName>
    <definedName name="Temission_form" localSheetId="2">'PT6-detergents &amp; clean. fluids'!$G$61</definedName>
    <definedName name="Temission_formulation" localSheetId="7">'PT6-fuels'!$G$39</definedName>
    <definedName name="Temission_formulation" localSheetId="6">'PT6-leather'!$G$50</definedName>
    <definedName name="Temission_formulation" localSheetId="3">'PT6-paints&amp;coatings'!$G$61</definedName>
    <definedName name="Temission_formulation" localSheetId="4">'PT6-paper'!$G$54</definedName>
    <definedName name="Temission_formulation" localSheetId="5">'PT6-textile'!$G$50</definedName>
    <definedName name="Temission_priv" localSheetId="2">'PT6-detergents &amp; clean. fluids'!$G$105</definedName>
    <definedName name="Temission_prof" localSheetId="2">'PT6-detergents &amp; clean. fluids'!$G$141</definedName>
    <definedName name="Temission_ton" localSheetId="3">'PT6-paints&amp;coatings'!$G$119</definedName>
    <definedName name="TIME1" localSheetId="3">'PT6-paints&amp;coatings'!$G$291</definedName>
    <definedName name="TIME1_bridge" localSheetId="3">'PT6-paints&amp;coatings'!$G$402</definedName>
    <definedName name="TIME1_facade" localSheetId="3">'PT6-paints&amp;coatings'!$G$335</definedName>
    <definedName name="TIME2" localSheetId="3">'PT6-paints&amp;coatings'!$G$295</definedName>
    <definedName name="TIME2_bridge" localSheetId="3">'PT6-paints&amp;coatings'!$G$404</definedName>
    <definedName name="TIME2_facade" localSheetId="3">'PT6-paints&amp;coatings'!$G$337</definedName>
    <definedName name="TIME2minusTIME1" localSheetId="3">'PT6-paints&amp;coatings'!$G$293</definedName>
    <definedName name="TIME3_bridge" localSheetId="3">'PT6-paints&amp;coatings'!$G$406</definedName>
    <definedName name="TIME3_facade" localSheetId="3">'PT6-paints&amp;coatings'!$G$339</definedName>
    <definedName name="Tonnage" localSheetId="3">'PT6-paints&amp;coatings'!$G$111</definedName>
    <definedName name="TONNAGE_formulation" localSheetId="3">'PT6-paints&amp;coatings'!$G$47</definedName>
    <definedName name="Tonnage_priv" localSheetId="2">'PT6-detergents &amp; clean. fluids'!$G$93</definedName>
    <definedName name="TONNAGE_prof" localSheetId="2">'PT6-detergents &amp; clean. fluids'!$G$129</definedName>
    <definedName name="tonnage_range_detergents">'Pick-lists &amp; Defaults'!$B$40:$B$49</definedName>
    <definedName name="tonnage_range_fuels">'Pick-lists &amp; Defaults'!$B$210:$B$222</definedName>
    <definedName name="tonnage_range_leather">'Pick-lists &amp; Defaults'!$B$158:$B$171</definedName>
    <definedName name="tonnage_range_leather_application">'Pick-lists &amp; Defaults'!$B$175:$B$182</definedName>
    <definedName name="tonnage_range_paints">'Pick-lists &amp; Defaults'!$B$70:$B$75</definedName>
    <definedName name="tonnage_range_paper">'Pick-lists &amp; Defaults'!$B$89:$B$104</definedName>
    <definedName name="tonnage_range_textile">'Pick-lists &amp; Defaults'!$B$146:$B$151</definedName>
    <definedName name="Tonnage_recyc" localSheetId="4">'PT6-paper'!$G$180</definedName>
    <definedName name="TONNAGE_reg_form_picklist" localSheetId="3">'PT6-paints&amp;coatings'!$E$57</definedName>
    <definedName name="Tonnage_reg_priv" localSheetId="2">'PT6-detergents &amp; clean. fluids'!$G$97</definedName>
    <definedName name="TONNAGEapplication" localSheetId="6">'PT6-leather'!$G$86</definedName>
    <definedName name="TONNAGEformulation" localSheetId="2">'PT6-detergents &amp; clean. fluids'!$G$47</definedName>
    <definedName name="TONNAGEformulation" localSheetId="7">'PT6-fuels'!$G$25</definedName>
    <definedName name="TONNAGEformulation" localSheetId="6">'PT6-leather'!$G$36</definedName>
    <definedName name="TONNAGEformulation" localSheetId="4">'PT6-paper'!$G$40</definedName>
    <definedName name="TONNAGEformulation" localSheetId="5">'PT6-textile'!$G$36</definedName>
    <definedName name="TONNAGEreg_application" localSheetId="6">'PT6-leather'!$G$90</definedName>
    <definedName name="TONNAGEreg_form">'Pick-lists &amp; Defaults'!$B$14:$B$16</definedName>
    <definedName name="TONNAGEreg_formulation" localSheetId="2">'PT6-detergents &amp; clean. fluids'!$G$51</definedName>
    <definedName name="TONNAGEreg_formulation" localSheetId="7">'PT6-fuels'!$G$29</definedName>
    <definedName name="TONNAGEreg_formulation" localSheetId="6">'PT6-leather'!$G$40</definedName>
    <definedName name="TONNAGEreg_formulation" localSheetId="3">'PT6-paints&amp;coatings'!$G$51</definedName>
    <definedName name="TONNAGEreg_formulation" localSheetId="4">'PT6-paper'!$G$44</definedName>
    <definedName name="TONNAGEreg_formulation" localSheetId="5">'PT6-textile'!$G$40</definedName>
    <definedName name="TONNAGEreg_prof" localSheetId="2">'PT6-detergents &amp; clean. fluids'!$G$133</definedName>
    <definedName name="TONNAGEreg_recyc" localSheetId="4">'PT6-paper'!$G$184</definedName>
    <definedName name="TONNAGEregform" localSheetId="2">'PT6-detergents &amp; clean. fluids'!$G$55</definedName>
    <definedName name="TONNAGEregform_application" localSheetId="6">'PT6-leather'!$G$94</definedName>
    <definedName name="TONNAGEregform_formulation" localSheetId="7">'PT6-fuels'!$G$33</definedName>
    <definedName name="TONNAGEregform_formulation" localSheetId="6">'PT6-leather'!$G$44</definedName>
    <definedName name="TONNAGEregform_formulation" localSheetId="3">'PT6-paints&amp;coatings'!$G$55</definedName>
    <definedName name="TONNAGEregform_formulation" localSheetId="4">'PT6-paper'!$G$48</definedName>
    <definedName name="TONNAGEregform_formulation" localSheetId="5">'PT6-textile'!$G$44</definedName>
    <definedName name="TONNAGEregform_picklist" localSheetId="2">'PT6-detergents &amp; clean. fluids'!$E$57</definedName>
    <definedName name="treatment_step">'Pick-lists &amp; Defaults'!$B$192:$B$196</definedName>
    <definedName name="vapour_pressure">'Pick-lists &amp; Defaults'!$B$7:$B$11</definedName>
    <definedName name="Vform" localSheetId="2">'PT6-detergents &amp; clean. fluids'!$G$257</definedName>
    <definedName name="Vforminh_dish" localSheetId="2">'PT6-detergents &amp; clean. fluids'!$G$336</definedName>
    <definedName name="volatility">'Pick-lists &amp; Defaults'!$B$118:$B$122</definedName>
    <definedName name="Vproduct" localSheetId="2">'PT6-detergents &amp; clean. fluids'!$G$228</definedName>
    <definedName name="Vsoil" localSheetId="3">'PT6-paints&amp;coatings'!$G$251</definedName>
    <definedName name="Vsoil_countryside">'PT6-paints&amp;coatings'!$G$347</definedName>
    <definedName name="Vsoil_drift_t1" localSheetId="3">'PT6-paints&amp;coatings'!$G$180</definedName>
    <definedName name="Vsoil_drift_t2" localSheetId="3">'PT6-paints&amp;coatings'!$G$182</definedName>
    <definedName name="Vsoil_runoff" localSheetId="3">'PT6-paints&amp;coatings'!$G$178</definedName>
    <definedName name="Vwater" localSheetId="3">'PT6-paints&amp;coatings'!$G$414</definedName>
    <definedName name="Yes_No?">'Pick-lists &amp; Defaults'!$B$131:$B$133</definedName>
  </definedNames>
  <calcPr calcId="152511"/>
</workbook>
</file>

<file path=xl/calcChain.xml><?xml version="1.0" encoding="utf-8"?>
<calcChain xmlns="http://schemas.openxmlformats.org/spreadsheetml/2006/main">
  <c r="G111" i="34" l="1"/>
  <c r="G424" i="32"/>
  <c r="G422" i="32"/>
  <c r="G420" i="32"/>
  <c r="G430" i="32" l="1"/>
  <c r="G428" i="32"/>
  <c r="G381" i="30" l="1"/>
  <c r="G194" i="32" l="1"/>
  <c r="G144" i="34" l="1"/>
  <c r="G203" i="32" l="1"/>
  <c r="G315" i="32" l="1"/>
  <c r="G361" i="32" l="1"/>
  <c r="G375" i="32" s="1"/>
  <c r="G381" i="32" s="1"/>
  <c r="G367" i="32"/>
  <c r="I337" i="32"/>
  <c r="G240" i="30" l="1"/>
  <c r="G363" i="32" l="1"/>
  <c r="G377" i="32" s="1"/>
  <c r="G383" i="32" s="1"/>
  <c r="G359" i="32"/>
  <c r="G373" i="32" s="1"/>
  <c r="G379" i="32" s="1"/>
  <c r="G123" i="36" l="1"/>
  <c r="I103" i="36"/>
  <c r="I102" i="36"/>
  <c r="G107" i="34" l="1"/>
  <c r="G365" i="32"/>
  <c r="G313" i="32"/>
  <c r="G311" i="32"/>
  <c r="G119" i="34" l="1"/>
  <c r="I342" i="30" l="1"/>
  <c r="G317" i="30"/>
  <c r="I141" i="30" l="1"/>
  <c r="I139" i="30"/>
  <c r="I137" i="30"/>
  <c r="I135" i="30"/>
  <c r="G133" i="30"/>
  <c r="G147" i="30" s="1"/>
  <c r="I131" i="30"/>
  <c r="I105" i="30" l="1"/>
  <c r="G39" i="38" l="1"/>
  <c r="G37" i="38"/>
  <c r="E221" i="3"/>
  <c r="E218" i="3"/>
  <c r="E217" i="3"/>
  <c r="E222" i="3"/>
  <c r="E216" i="3"/>
  <c r="E215" i="3"/>
  <c r="E214" i="3"/>
  <c r="E213" i="3"/>
  <c r="E212" i="3"/>
  <c r="E211" i="3"/>
  <c r="I27" i="38"/>
  <c r="G29" i="38"/>
  <c r="G33" i="38" s="1"/>
  <c r="G41" i="38" s="1"/>
  <c r="G174" i="37"/>
  <c r="G191" i="37" s="1"/>
  <c r="G163" i="37"/>
  <c r="G190" i="37" s="1"/>
  <c r="G152" i="37"/>
  <c r="G189" i="37" s="1"/>
  <c r="G141" i="37"/>
  <c r="G188" i="37" s="1"/>
  <c r="E220" i="3" l="1"/>
  <c r="E219" i="3"/>
  <c r="G48" i="38"/>
  <c r="G193" i="37"/>
  <c r="I180" i="37"/>
  <c r="I178" i="37"/>
  <c r="I169" i="37"/>
  <c r="I167" i="37"/>
  <c r="I158" i="37"/>
  <c r="I156" i="37"/>
  <c r="I147" i="37"/>
  <c r="I145" i="37"/>
  <c r="I136" i="37"/>
  <c r="I134" i="37"/>
  <c r="I130" i="37"/>
  <c r="G90" i="37"/>
  <c r="G94" i="37" s="1"/>
  <c r="I88" i="37"/>
  <c r="G102" i="37" l="1"/>
  <c r="G98" i="37"/>
  <c r="G52" i="34" l="1"/>
  <c r="G48" i="37"/>
  <c r="E168" i="3"/>
  <c r="E169" i="3"/>
  <c r="E170" i="3"/>
  <c r="E171" i="3"/>
  <c r="E167" i="3"/>
  <c r="E166" i="3"/>
  <c r="E165" i="3"/>
  <c r="E164" i="3"/>
  <c r="E163" i="3"/>
  <c r="G40" i="37"/>
  <c r="I38" i="37"/>
  <c r="G125" i="36"/>
  <c r="G124" i="36"/>
  <c r="I116" i="36"/>
  <c r="I114" i="36"/>
  <c r="I112" i="36"/>
  <c r="I110" i="36"/>
  <c r="I109" i="36"/>
  <c r="I108" i="36"/>
  <c r="I101" i="36"/>
  <c r="I98" i="36"/>
  <c r="G50" i="36"/>
  <c r="G48" i="36"/>
  <c r="I56" i="36"/>
  <c r="G54" i="36"/>
  <c r="G40" i="36"/>
  <c r="I38" i="36"/>
  <c r="I60" i="34"/>
  <c r="G58" i="34"/>
  <c r="E45" i="3"/>
  <c r="E46" i="3"/>
  <c r="E47" i="3"/>
  <c r="E48" i="3"/>
  <c r="E49" i="3"/>
  <c r="E44" i="3"/>
  <c r="G44" i="34"/>
  <c r="E104" i="3"/>
  <c r="E100" i="3"/>
  <c r="E91" i="3"/>
  <c r="E92" i="3"/>
  <c r="E93" i="3"/>
  <c r="E94" i="3"/>
  <c r="E95" i="3"/>
  <c r="E96" i="3"/>
  <c r="E90" i="3"/>
  <c r="G81" i="34" l="1"/>
  <c r="G79" i="34"/>
  <c r="G83" i="34"/>
  <c r="G44" i="36"/>
  <c r="G52" i="36" s="1"/>
  <c r="G68" i="36" s="1"/>
  <c r="G79" i="36"/>
  <c r="G77" i="36"/>
  <c r="G75" i="36"/>
  <c r="G44" i="37"/>
  <c r="E162" i="3" s="1"/>
  <c r="G127" i="36"/>
  <c r="G70" i="36"/>
  <c r="G72" i="36"/>
  <c r="I42" i="34"/>
  <c r="I414" i="32"/>
  <c r="I406" i="32"/>
  <c r="I402" i="32"/>
  <c r="I400" i="32"/>
  <c r="G369" i="32"/>
  <c r="I347" i="32"/>
  <c r="I349" i="32"/>
  <c r="I339" i="32"/>
  <c r="I335" i="32"/>
  <c r="I291" i="32"/>
  <c r="G426" i="32"/>
  <c r="I333" i="32"/>
  <c r="I305" i="32"/>
  <c r="I299" i="32"/>
  <c r="I297" i="32"/>
  <c r="I295" i="32"/>
  <c r="I293" i="32"/>
  <c r="I67" i="32"/>
  <c r="G65" i="32"/>
  <c r="G51" i="32"/>
  <c r="I61" i="32"/>
  <c r="G59" i="32"/>
  <c r="G90" i="32" l="1"/>
  <c r="G88" i="32"/>
  <c r="G86" i="32"/>
  <c r="E161" i="3"/>
  <c r="G50" i="37" s="1"/>
  <c r="G62" i="37" s="1"/>
  <c r="E160" i="3"/>
  <c r="E177" i="3"/>
  <c r="E176" i="3"/>
  <c r="E179" i="3"/>
  <c r="G100" i="37" s="1"/>
  <c r="E178" i="3"/>
  <c r="E159" i="3"/>
  <c r="G52" i="37"/>
  <c r="G48" i="34"/>
  <c r="G83" i="32"/>
  <c r="G81" i="32"/>
  <c r="G55" i="32"/>
  <c r="I49" i="32"/>
  <c r="I49" i="30"/>
  <c r="G63" i="30"/>
  <c r="G59" i="30"/>
  <c r="G51" i="30"/>
  <c r="G55" i="30" s="1"/>
  <c r="G109" i="37" l="1"/>
  <c r="E42" i="3"/>
  <c r="G56" i="34"/>
  <c r="G60" i="37"/>
  <c r="E101" i="3"/>
  <c r="E97" i="3"/>
  <c r="E98" i="3"/>
  <c r="E103" i="3"/>
  <c r="E99" i="3"/>
  <c r="E102" i="3"/>
  <c r="G54" i="34" s="1"/>
  <c r="G63" i="32"/>
  <c r="G79" i="32" s="1"/>
  <c r="I196" i="34"/>
  <c r="G184" i="34"/>
  <c r="G72" i="34" l="1"/>
  <c r="E41" i="3"/>
  <c r="E43" i="3"/>
  <c r="G74" i="34"/>
  <c r="G76" i="34"/>
  <c r="G194" i="34"/>
  <c r="G202" i="34" s="1"/>
  <c r="G61" i="30" l="1"/>
  <c r="G73" i="30" s="1"/>
  <c r="I192" i="34"/>
  <c r="I190" i="34"/>
  <c r="I188" i="34"/>
  <c r="I186" i="34"/>
  <c r="I182" i="34"/>
  <c r="I154" i="34"/>
  <c r="I152" i="34"/>
  <c r="G150" i="34"/>
  <c r="I146" i="34"/>
  <c r="G142" i="34"/>
  <c r="G160" i="34" l="1"/>
  <c r="G71" i="30"/>
  <c r="I113" i="34"/>
  <c r="I111" i="34"/>
  <c r="I253" i="32" l="1"/>
  <c r="I251" i="32"/>
  <c r="G249" i="32"/>
  <c r="G259" i="32" s="1"/>
  <c r="G263" i="32" l="1"/>
  <c r="G268" i="32"/>
  <c r="G270" i="32"/>
  <c r="I241" i="32"/>
  <c r="G215" i="32"/>
  <c r="G192" i="32"/>
  <c r="G190" i="32"/>
  <c r="G205" i="32" s="1"/>
  <c r="G207" i="32" s="1"/>
  <c r="I184" i="32"/>
  <c r="I182" i="32"/>
  <c r="I180" i="32"/>
  <c r="I178" i="32"/>
  <c r="I176" i="32"/>
  <c r="I174" i="32"/>
  <c r="I172" i="32"/>
  <c r="I164" i="32"/>
  <c r="G213" i="32" l="1"/>
  <c r="G219" i="32" s="1"/>
  <c r="G209" i="32"/>
  <c r="G211" i="32"/>
  <c r="G217" i="32" s="1"/>
  <c r="G198" i="32"/>
  <c r="G115" i="32"/>
  <c r="I129" i="32"/>
  <c r="I125" i="32"/>
  <c r="I121" i="32"/>
  <c r="I119" i="32"/>
  <c r="I117" i="32"/>
  <c r="I103" i="30"/>
  <c r="I101" i="30"/>
  <c r="I99" i="30"/>
  <c r="G97" i="30"/>
  <c r="G111" i="30" s="1"/>
  <c r="I95" i="30"/>
  <c r="I172" i="30"/>
  <c r="I174" i="30"/>
  <c r="E176" i="30"/>
  <c r="E178" i="30"/>
  <c r="H178" i="30" s="1"/>
  <c r="G178" i="30"/>
  <c r="I375" i="30"/>
  <c r="I373" i="30"/>
  <c r="I371" i="30"/>
  <c r="I367" i="30"/>
  <c r="I365" i="30"/>
  <c r="G348" i="30"/>
  <c r="I336" i="30"/>
  <c r="I338" i="30"/>
  <c r="I334" i="30"/>
  <c r="I311" i="30"/>
  <c r="I271" i="30"/>
  <c r="I269" i="30"/>
  <c r="I267" i="30"/>
  <c r="H176" i="30" l="1"/>
  <c r="G192" i="30"/>
  <c r="G137" i="32"/>
  <c r="G141" i="32"/>
  <c r="I307" i="30"/>
  <c r="I305" i="30"/>
  <c r="I303" i="30"/>
  <c r="I301" i="30"/>
  <c r="I299" i="30"/>
  <c r="I297" i="30"/>
  <c r="G277" i="30"/>
  <c r="I265" i="30"/>
  <c r="I263" i="30"/>
  <c r="I261" i="30"/>
  <c r="I257" i="30"/>
  <c r="I234" i="30"/>
  <c r="I232" i="30"/>
  <c r="I228" i="30"/>
  <c r="I226" i="30"/>
  <c r="I224" i="30"/>
  <c r="I180" i="30" l="1"/>
  <c r="I182" i="30"/>
  <c r="I184" i="30"/>
  <c r="I186" i="30" l="1"/>
</calcChain>
</file>

<file path=xl/sharedStrings.xml><?xml version="1.0" encoding="utf-8"?>
<sst xmlns="http://schemas.openxmlformats.org/spreadsheetml/2006/main" count="2318" uniqueCount="839">
  <si>
    <t>Input</t>
  </si>
  <si>
    <t>Output</t>
  </si>
  <si>
    <t>Variable/parameter</t>
  </si>
  <si>
    <t>Unit</t>
  </si>
  <si>
    <t>Symbol</t>
  </si>
  <si>
    <t>[-]</t>
  </si>
  <si>
    <t>Value</t>
  </si>
  <si>
    <t>O</t>
  </si>
  <si>
    <t xml:space="preserve">Instructions for using the table: </t>
  </si>
  <si>
    <r>
      <t xml:space="preserve">S/D/O/P </t>
    </r>
    <r>
      <rPr>
        <i/>
        <vertAlign val="superscript"/>
        <sz val="10"/>
        <color rgb="FF0070C0"/>
        <rFont val="Verdana"/>
        <family val="2"/>
      </rPr>
      <t>1</t>
    </r>
  </si>
  <si>
    <t>1) S: data set; D: default; O: output; P: pick list</t>
  </si>
  <si>
    <t>INDEX</t>
  </si>
  <si>
    <t>Version history</t>
  </si>
  <si>
    <t>v1.0</t>
  </si>
  <si>
    <r>
      <rPr>
        <b/>
        <sz val="11"/>
        <color theme="1"/>
        <rFont val="Verdana"/>
        <family val="2"/>
      </rPr>
      <t>Reference document:</t>
    </r>
    <r>
      <rPr>
        <sz val="11"/>
        <color theme="1"/>
        <rFont val="Verdana"/>
        <family val="2"/>
      </rPr>
      <t xml:space="preserve"> </t>
    </r>
  </si>
  <si>
    <t>References / Calculation formulas / Explanations</t>
  </si>
  <si>
    <r>
      <t>kg.d</t>
    </r>
    <r>
      <rPr>
        <vertAlign val="superscript"/>
        <sz val="10"/>
        <color theme="1"/>
        <rFont val="Verdana"/>
        <family val="2"/>
      </rPr>
      <t>-1</t>
    </r>
  </si>
  <si>
    <t>D</t>
  </si>
  <si>
    <t>S</t>
  </si>
  <si>
    <t>Note:</t>
  </si>
  <si>
    <t>d</t>
  </si>
  <si>
    <r>
      <t>m</t>
    </r>
    <r>
      <rPr>
        <vertAlign val="superscript"/>
        <sz val="10"/>
        <color theme="1"/>
        <rFont val="Verdana"/>
        <family val="2"/>
      </rPr>
      <t>3</t>
    </r>
  </si>
  <si>
    <r>
      <t>d</t>
    </r>
    <r>
      <rPr>
        <vertAlign val="superscript"/>
        <sz val="10"/>
        <color theme="1"/>
        <rFont val="Verdana"/>
        <family val="2"/>
      </rPr>
      <t>-1</t>
    </r>
  </si>
  <si>
    <t>Environmental Emission Scenarios for Product Type 6: Biocides used as preservatives for products during storage</t>
  </si>
  <si>
    <t>Spreadsheet index (click on the title to be directed to the sub-scenario)</t>
  </si>
  <si>
    <t>%</t>
  </si>
  <si>
    <t>Concentration at which active substance is used</t>
  </si>
  <si>
    <r>
      <t>kg.l</t>
    </r>
    <r>
      <rPr>
        <vertAlign val="superscript"/>
        <sz val="10"/>
        <color theme="1"/>
        <rFont val="Verdana"/>
        <family val="2"/>
      </rPr>
      <t>-1</t>
    </r>
  </si>
  <si>
    <r>
      <t>l.d</t>
    </r>
    <r>
      <rPr>
        <vertAlign val="superscript"/>
        <sz val="10"/>
        <color theme="1"/>
        <rFont val="Verdana"/>
        <family val="2"/>
      </rPr>
      <t>-1</t>
    </r>
  </si>
  <si>
    <t>Fraction released to wastewater</t>
  </si>
  <si>
    <t xml:space="preserve">Relevant tonnage in EU for this application </t>
  </si>
  <si>
    <t>TONNAGE</t>
  </si>
  <si>
    <t xml:space="preserve">Fraction for the region </t>
  </si>
  <si>
    <r>
      <t>F</t>
    </r>
    <r>
      <rPr>
        <sz val="8"/>
        <color theme="1"/>
        <rFont val="Verdana"/>
        <family val="2"/>
      </rPr>
      <t>reg</t>
    </r>
  </si>
  <si>
    <t>Number of inhabitants feeding one STP</t>
  </si>
  <si>
    <t xml:space="preserve">Active substance in biocidal product </t>
  </si>
  <si>
    <t>Select "Volume" or "Weight"</t>
  </si>
  <si>
    <t>Consumption</t>
  </si>
  <si>
    <t>Select consumption per inhabitant/day or per application</t>
  </si>
  <si>
    <t>Number of applications</t>
  </si>
  <si>
    <t>Fraction of inhabitants using product N</t>
  </si>
  <si>
    <t xml:space="preserve">Specific density of product </t>
  </si>
  <si>
    <t>RHOform</t>
  </si>
  <si>
    <r>
      <t>kg.m</t>
    </r>
    <r>
      <rPr>
        <vertAlign val="superscript"/>
        <sz val="10"/>
        <color theme="1"/>
        <rFont val="Verdana"/>
        <family val="2"/>
      </rPr>
      <t>-3</t>
    </r>
  </si>
  <si>
    <r>
      <t>Elocal</t>
    </r>
    <r>
      <rPr>
        <sz val="8"/>
        <color theme="1"/>
        <rFont val="Verdana"/>
        <family val="2"/>
      </rPr>
      <t>water</t>
    </r>
  </si>
  <si>
    <t>See Table 1 below</t>
  </si>
  <si>
    <r>
      <t>Table 1: Model calculations for Elocal</t>
    </r>
    <r>
      <rPr>
        <b/>
        <sz val="8"/>
        <color theme="3"/>
        <rFont val="Verdana"/>
        <family val="2"/>
      </rPr>
      <t>water</t>
    </r>
  </si>
  <si>
    <t>Product form</t>
  </si>
  <si>
    <t>A) Volume</t>
  </si>
  <si>
    <t>B) Weight</t>
  </si>
  <si>
    <t>C1) Consumption per inhabitant per day (ml/d)</t>
  </si>
  <si>
    <t>C2) Consumption per inhabitant per day (g/d)</t>
  </si>
  <si>
    <t>D1) Consumption per application (ml)</t>
  </si>
  <si>
    <t>D2) Consumption per application (g)</t>
  </si>
  <si>
    <t>Spreadsheet "PT 6 - detergents &amp; clean. fluids"</t>
  </si>
  <si>
    <t>??</t>
  </si>
  <si>
    <t>Vforminh
Qforminh
Vformappl
Qformappl</t>
  </si>
  <si>
    <t>Emission rate to wastewater</t>
  </si>
  <si>
    <t>Nm</t>
  </si>
  <si>
    <t>Capacity of washing tube (laundry)</t>
  </si>
  <si>
    <t>Cap</t>
  </si>
  <si>
    <t>Amount of detergent per kg laundry</t>
  </si>
  <si>
    <r>
      <t>l.kg</t>
    </r>
    <r>
      <rPr>
        <vertAlign val="superscript"/>
        <sz val="10"/>
        <color theme="1"/>
        <rFont val="Verdana"/>
        <family val="2"/>
      </rPr>
      <t>-1</t>
    </r>
  </si>
  <si>
    <t>Concentration of active substance in detergent</t>
  </si>
  <si>
    <t>Concentration reduction in washing process</t>
  </si>
  <si>
    <t>Local release to waste water (without pre-treatment) - General purpose</t>
  </si>
  <si>
    <t>Vform</t>
  </si>
  <si>
    <r>
      <t>l.m</t>
    </r>
    <r>
      <rPr>
        <vertAlign val="superscript"/>
        <sz val="10"/>
        <color theme="1"/>
        <rFont val="Verdana"/>
        <family val="2"/>
      </rPr>
      <t>-2</t>
    </r>
  </si>
  <si>
    <t>Cform</t>
  </si>
  <si>
    <r>
      <t>g.l</t>
    </r>
    <r>
      <rPr>
        <vertAlign val="superscript"/>
        <sz val="10"/>
        <color theme="1"/>
        <rFont val="Verdana"/>
        <family val="2"/>
      </rPr>
      <t>-1</t>
    </r>
  </si>
  <si>
    <t xml:space="preserve">Fraction of concentrate in the diluted detergent </t>
  </si>
  <si>
    <t>Fconc</t>
  </si>
  <si>
    <t>Surface area to be cleaned (canteen as a worst case)</t>
  </si>
  <si>
    <r>
      <t>m</t>
    </r>
    <r>
      <rPr>
        <vertAlign val="superscript"/>
        <sz val="10"/>
        <color theme="1"/>
        <rFont val="Verdana"/>
        <family val="2"/>
      </rPr>
      <t>2</t>
    </r>
  </si>
  <si>
    <t>Number of applications per day</t>
  </si>
  <si>
    <t>Fraction of substance disintegrated during or after application (before release to the sewer system</t>
  </si>
  <si>
    <t>Fraction released to waste water</t>
  </si>
  <si>
    <t>Local release to waste water (without pre-treatment)</t>
  </si>
  <si>
    <r>
      <t>kg.d</t>
    </r>
    <r>
      <rPr>
        <vertAlign val="superscript"/>
        <sz val="10"/>
        <rFont val="Verdana"/>
        <family val="2"/>
      </rPr>
      <t>-1</t>
    </r>
  </si>
  <si>
    <t>Number of houses feeding one STP</t>
  </si>
  <si>
    <t>Number of laundry washes per household per day</t>
  </si>
  <si>
    <r>
      <rPr>
        <sz val="10"/>
        <color theme="1"/>
        <rFont val="Verdana"/>
        <family val="2"/>
      </rPr>
      <t>d</t>
    </r>
    <r>
      <rPr>
        <vertAlign val="superscript"/>
        <sz val="10"/>
        <color theme="1"/>
        <rFont val="Verdana"/>
        <family val="2"/>
      </rPr>
      <t>-1</t>
    </r>
  </si>
  <si>
    <t>Fraction of washes performed with laundry detergents</t>
  </si>
  <si>
    <t xml:space="preserve">Dosage of liquid laundry detergents </t>
  </si>
  <si>
    <t>l</t>
  </si>
  <si>
    <t>Dosage of fabric softeners</t>
  </si>
  <si>
    <t xml:space="preserve">Active substance in the product </t>
  </si>
  <si>
    <t>Local release to waste water per day</t>
  </si>
  <si>
    <r>
      <t xml:space="preserve">Market penetration factor </t>
    </r>
    <r>
      <rPr>
        <vertAlign val="superscript"/>
        <sz val="10"/>
        <color theme="1"/>
        <rFont val="Verdana"/>
        <family val="2"/>
      </rPr>
      <t>2</t>
    </r>
  </si>
  <si>
    <r>
      <t>Market penetration factor</t>
    </r>
    <r>
      <rPr>
        <vertAlign val="superscript"/>
        <sz val="10"/>
        <color theme="1"/>
        <rFont val="Verdana"/>
        <family val="2"/>
      </rPr>
      <t xml:space="preserve"> 2</t>
    </r>
  </si>
  <si>
    <r>
      <t>Market penetration factor</t>
    </r>
    <r>
      <rPr>
        <vertAlign val="superscript"/>
        <sz val="10"/>
        <color theme="1"/>
        <rFont val="Verdana"/>
        <family val="2"/>
      </rPr>
      <t xml:space="preserve"> 3</t>
    </r>
  </si>
  <si>
    <r>
      <t xml:space="preserve">Application rate of diluted detergent </t>
    </r>
    <r>
      <rPr>
        <vertAlign val="superscript"/>
        <sz val="10"/>
        <color theme="1"/>
        <rFont val="Verdana"/>
        <family val="2"/>
      </rPr>
      <t>2</t>
    </r>
  </si>
  <si>
    <r>
      <t xml:space="preserve">Market share of disinfectant </t>
    </r>
    <r>
      <rPr>
        <vertAlign val="superscript"/>
        <sz val="10"/>
        <color theme="1"/>
        <rFont val="Verdana"/>
        <family val="2"/>
      </rPr>
      <t>2</t>
    </r>
  </si>
  <si>
    <t>Consumption rate of detergent per inhabitant per day</t>
  </si>
  <si>
    <t>Active substance in the product</t>
  </si>
  <si>
    <r>
      <t>Cform</t>
    </r>
    <r>
      <rPr>
        <vertAlign val="subscript"/>
        <sz val="10"/>
        <color theme="1"/>
        <rFont val="Verdana"/>
        <family val="2"/>
      </rPr>
      <t>volume</t>
    </r>
  </si>
  <si>
    <r>
      <t>N</t>
    </r>
    <r>
      <rPr>
        <sz val="8"/>
        <color theme="1"/>
        <rFont val="Verdana"/>
        <family val="2"/>
      </rPr>
      <t>local</t>
    </r>
  </si>
  <si>
    <r>
      <t>F</t>
    </r>
    <r>
      <rPr>
        <sz val="8"/>
        <color theme="1"/>
        <rFont val="Verdana"/>
        <family val="2"/>
      </rPr>
      <t>water</t>
    </r>
  </si>
  <si>
    <r>
      <t>N</t>
    </r>
    <r>
      <rPr>
        <sz val="8"/>
        <color theme="1"/>
        <rFont val="Verdana"/>
        <family val="2"/>
      </rPr>
      <t>appl</t>
    </r>
  </si>
  <si>
    <r>
      <t>F</t>
    </r>
    <r>
      <rPr>
        <sz val="8"/>
        <color theme="1"/>
        <rFont val="Verdana"/>
        <family val="2"/>
      </rPr>
      <t>inh</t>
    </r>
  </si>
  <si>
    <r>
      <t>F</t>
    </r>
    <r>
      <rPr>
        <sz val="8"/>
        <color theme="1"/>
        <rFont val="Verdana"/>
        <family val="2"/>
      </rPr>
      <t>penetr</t>
    </r>
  </si>
  <si>
    <r>
      <t>C1 and A:  Elocal</t>
    </r>
    <r>
      <rPr>
        <sz val="8"/>
        <color theme="1"/>
        <rFont val="Verdana"/>
        <family val="2"/>
      </rPr>
      <t>water</t>
    </r>
    <r>
      <rPr>
        <sz val="10"/>
        <color theme="1"/>
        <rFont val="Verdana"/>
        <family val="2"/>
      </rPr>
      <t xml:space="preserve"> = N</t>
    </r>
    <r>
      <rPr>
        <sz val="8"/>
        <color theme="1"/>
        <rFont val="Verdana"/>
        <family val="2"/>
      </rPr>
      <t>local</t>
    </r>
    <r>
      <rPr>
        <sz val="10"/>
        <color theme="1"/>
        <rFont val="Verdana"/>
        <family val="2"/>
      </rPr>
      <t>*F</t>
    </r>
    <r>
      <rPr>
        <sz val="8"/>
        <color theme="1"/>
        <rFont val="Verdana"/>
        <family val="2"/>
      </rPr>
      <t>water</t>
    </r>
    <r>
      <rPr>
        <sz val="10"/>
        <color theme="1"/>
        <rFont val="Verdana"/>
        <family val="2"/>
      </rPr>
      <t>*Vform</t>
    </r>
    <r>
      <rPr>
        <sz val="8"/>
        <color theme="1"/>
        <rFont val="Verdana"/>
        <family val="2"/>
      </rPr>
      <t>inh</t>
    </r>
    <r>
      <rPr>
        <sz val="10"/>
        <color theme="1"/>
        <rFont val="Verdana"/>
        <family val="2"/>
      </rPr>
      <t>*Cform</t>
    </r>
    <r>
      <rPr>
        <sz val="8"/>
        <color theme="1"/>
        <rFont val="Verdana"/>
        <family val="2"/>
      </rPr>
      <t>volume</t>
    </r>
    <r>
      <rPr>
        <sz val="10"/>
        <color theme="1"/>
        <rFont val="Verdana"/>
        <family val="2"/>
      </rPr>
      <t>*F</t>
    </r>
    <r>
      <rPr>
        <sz val="8"/>
        <color theme="1"/>
        <rFont val="Verdana"/>
        <family val="2"/>
      </rPr>
      <t>penetr</t>
    </r>
    <r>
      <rPr>
        <sz val="10"/>
        <color theme="1"/>
        <rFont val="Verdana"/>
        <family val="2"/>
      </rPr>
      <t>*10</t>
    </r>
    <r>
      <rPr>
        <vertAlign val="superscript"/>
        <sz val="10"/>
        <color theme="1"/>
        <rFont val="Verdana"/>
        <family val="2"/>
      </rPr>
      <t>-6</t>
    </r>
  </si>
  <si>
    <r>
      <t>C1 and B:  Elocal</t>
    </r>
    <r>
      <rPr>
        <sz val="8"/>
        <color theme="1"/>
        <rFont val="Verdana"/>
        <family val="2"/>
      </rPr>
      <t>water</t>
    </r>
    <r>
      <rPr>
        <sz val="10"/>
        <color theme="1"/>
        <rFont val="Verdana"/>
        <family val="2"/>
      </rPr>
      <t xml:space="preserve"> = N</t>
    </r>
    <r>
      <rPr>
        <sz val="8"/>
        <color theme="1"/>
        <rFont val="Verdana"/>
        <family val="2"/>
      </rPr>
      <t>local</t>
    </r>
    <r>
      <rPr>
        <sz val="10"/>
        <color theme="1"/>
        <rFont val="Verdana"/>
        <family val="2"/>
      </rPr>
      <t>*F</t>
    </r>
    <r>
      <rPr>
        <sz val="8"/>
        <color theme="1"/>
        <rFont val="Verdana"/>
        <family val="2"/>
      </rPr>
      <t>water</t>
    </r>
    <r>
      <rPr>
        <sz val="10"/>
        <color theme="1"/>
        <rFont val="Verdana"/>
        <family val="2"/>
      </rPr>
      <t>*Vform</t>
    </r>
    <r>
      <rPr>
        <sz val="8"/>
        <color theme="1"/>
        <rFont val="Verdana"/>
        <family val="2"/>
      </rPr>
      <t>inh</t>
    </r>
    <r>
      <rPr>
        <sz val="10"/>
        <color theme="1"/>
        <rFont val="Verdana"/>
        <family val="2"/>
      </rPr>
      <t>*RHOform*Cform</t>
    </r>
    <r>
      <rPr>
        <sz val="8"/>
        <color theme="1"/>
        <rFont val="Verdana"/>
        <family val="2"/>
      </rPr>
      <t>weight</t>
    </r>
    <r>
      <rPr>
        <sz val="10"/>
        <color theme="1"/>
        <rFont val="Verdana"/>
        <family val="2"/>
      </rPr>
      <t>*F</t>
    </r>
    <r>
      <rPr>
        <sz val="8"/>
        <color theme="1"/>
        <rFont val="Verdana"/>
        <family val="2"/>
      </rPr>
      <t>penetr</t>
    </r>
    <r>
      <rPr>
        <sz val="10"/>
        <color theme="1"/>
        <rFont val="Verdana"/>
        <family val="2"/>
      </rPr>
      <t>*10</t>
    </r>
    <r>
      <rPr>
        <vertAlign val="superscript"/>
        <sz val="10"/>
        <color theme="1"/>
        <rFont val="Verdana"/>
        <family val="2"/>
      </rPr>
      <t>-9</t>
    </r>
  </si>
  <si>
    <r>
      <t>C2 and A:  Elocal</t>
    </r>
    <r>
      <rPr>
        <sz val="8"/>
        <color theme="1"/>
        <rFont val="Verdana"/>
        <family val="2"/>
      </rPr>
      <t>water</t>
    </r>
    <r>
      <rPr>
        <sz val="10"/>
        <color theme="1"/>
        <rFont val="Verdana"/>
        <family val="2"/>
      </rPr>
      <t xml:space="preserve"> = N</t>
    </r>
    <r>
      <rPr>
        <sz val="8"/>
        <color theme="1"/>
        <rFont val="Verdana"/>
        <family val="2"/>
      </rPr>
      <t>local</t>
    </r>
    <r>
      <rPr>
        <sz val="10"/>
        <color theme="1"/>
        <rFont val="Verdana"/>
        <family val="2"/>
      </rPr>
      <t>*F</t>
    </r>
    <r>
      <rPr>
        <sz val="8"/>
        <color theme="1"/>
        <rFont val="Verdana"/>
        <family val="2"/>
      </rPr>
      <t>water</t>
    </r>
    <r>
      <rPr>
        <sz val="10"/>
        <color theme="1"/>
        <rFont val="Verdana"/>
        <family val="2"/>
      </rPr>
      <t>*Qform</t>
    </r>
    <r>
      <rPr>
        <sz val="8"/>
        <color theme="1"/>
        <rFont val="Verdana"/>
        <family val="2"/>
      </rPr>
      <t>inh</t>
    </r>
    <r>
      <rPr>
        <sz val="10"/>
        <color theme="1"/>
        <rFont val="Verdana"/>
        <family val="2"/>
      </rPr>
      <t xml:space="preserve"> / RHOform*Cform</t>
    </r>
    <r>
      <rPr>
        <sz val="8"/>
        <color theme="1"/>
        <rFont val="Verdana"/>
        <family val="2"/>
      </rPr>
      <t>volume</t>
    </r>
    <r>
      <rPr>
        <sz val="10"/>
        <color theme="1"/>
        <rFont val="Verdana"/>
        <family val="2"/>
      </rPr>
      <t>*F</t>
    </r>
    <r>
      <rPr>
        <sz val="8"/>
        <color theme="1"/>
        <rFont val="Verdana"/>
        <family val="2"/>
      </rPr>
      <t>penetr</t>
    </r>
    <r>
      <rPr>
        <sz val="10"/>
        <color theme="1"/>
        <rFont val="Verdana"/>
        <family val="2"/>
      </rPr>
      <t>*10</t>
    </r>
    <r>
      <rPr>
        <vertAlign val="superscript"/>
        <sz val="10"/>
        <color theme="1"/>
        <rFont val="Verdana"/>
        <family val="2"/>
      </rPr>
      <t>-3</t>
    </r>
  </si>
  <si>
    <r>
      <t>C2 and B:  Elocal</t>
    </r>
    <r>
      <rPr>
        <sz val="8"/>
        <color theme="1"/>
        <rFont val="Verdana"/>
        <family val="2"/>
      </rPr>
      <t>water</t>
    </r>
    <r>
      <rPr>
        <sz val="10"/>
        <color theme="1"/>
        <rFont val="Verdana"/>
        <family val="2"/>
      </rPr>
      <t xml:space="preserve"> = N</t>
    </r>
    <r>
      <rPr>
        <sz val="8"/>
        <color theme="1"/>
        <rFont val="Verdana"/>
        <family val="2"/>
      </rPr>
      <t>local</t>
    </r>
    <r>
      <rPr>
        <sz val="10"/>
        <color theme="1"/>
        <rFont val="Verdana"/>
        <family val="2"/>
      </rPr>
      <t>*F</t>
    </r>
    <r>
      <rPr>
        <sz val="8"/>
        <color theme="1"/>
        <rFont val="Verdana"/>
        <family val="2"/>
      </rPr>
      <t>water</t>
    </r>
    <r>
      <rPr>
        <sz val="10"/>
        <color theme="1"/>
        <rFont val="Verdana"/>
        <family val="2"/>
      </rPr>
      <t>*Qform</t>
    </r>
    <r>
      <rPr>
        <sz val="8"/>
        <color theme="1"/>
        <rFont val="Verdana"/>
        <family val="2"/>
      </rPr>
      <t>inh</t>
    </r>
    <r>
      <rPr>
        <sz val="10"/>
        <color theme="1"/>
        <rFont val="Verdana"/>
        <family val="2"/>
      </rPr>
      <t>*Cform</t>
    </r>
    <r>
      <rPr>
        <sz val="8"/>
        <color theme="1"/>
        <rFont val="Verdana"/>
        <family val="2"/>
      </rPr>
      <t>weight</t>
    </r>
    <r>
      <rPr>
        <sz val="10"/>
        <color theme="1"/>
        <rFont val="Verdana"/>
        <family val="2"/>
      </rPr>
      <t>*F</t>
    </r>
    <r>
      <rPr>
        <sz val="8"/>
        <color theme="1"/>
        <rFont val="Verdana"/>
        <family val="2"/>
      </rPr>
      <t>penetr</t>
    </r>
    <r>
      <rPr>
        <sz val="10"/>
        <color theme="1"/>
        <rFont val="Verdana"/>
        <family val="2"/>
      </rPr>
      <t>*10</t>
    </r>
    <r>
      <rPr>
        <vertAlign val="superscript"/>
        <sz val="10"/>
        <color theme="1"/>
        <rFont val="Verdana"/>
        <family val="2"/>
      </rPr>
      <t>-6</t>
    </r>
  </si>
  <si>
    <r>
      <t>D1 and A:  Elocal</t>
    </r>
    <r>
      <rPr>
        <sz val="8"/>
        <color theme="1"/>
        <rFont val="Verdana"/>
        <family val="2"/>
      </rPr>
      <t>water</t>
    </r>
    <r>
      <rPr>
        <sz val="10"/>
        <color theme="1"/>
        <rFont val="Verdana"/>
        <family val="2"/>
      </rPr>
      <t xml:space="preserve"> = N</t>
    </r>
    <r>
      <rPr>
        <sz val="8"/>
        <color theme="1"/>
        <rFont val="Verdana"/>
        <family val="2"/>
      </rPr>
      <t>local</t>
    </r>
    <r>
      <rPr>
        <sz val="10"/>
        <color theme="1"/>
        <rFont val="Verdana"/>
        <family val="2"/>
      </rPr>
      <t>*N</t>
    </r>
    <r>
      <rPr>
        <sz val="8"/>
        <color theme="1"/>
        <rFont val="Verdana"/>
        <family val="2"/>
      </rPr>
      <t>appl</t>
    </r>
    <r>
      <rPr>
        <sz val="10"/>
        <color theme="1"/>
        <rFont val="Verdana"/>
        <family val="2"/>
      </rPr>
      <t>*F</t>
    </r>
    <r>
      <rPr>
        <sz val="8"/>
        <color theme="1"/>
        <rFont val="Verdana"/>
        <family val="2"/>
      </rPr>
      <t>inh</t>
    </r>
    <r>
      <rPr>
        <sz val="10"/>
        <color theme="1"/>
        <rFont val="Verdana"/>
        <family val="2"/>
      </rPr>
      <t>*F</t>
    </r>
    <r>
      <rPr>
        <sz val="8"/>
        <color theme="1"/>
        <rFont val="Verdana"/>
        <family val="2"/>
      </rPr>
      <t>water</t>
    </r>
    <r>
      <rPr>
        <sz val="10"/>
        <color theme="1"/>
        <rFont val="Verdana"/>
        <family val="2"/>
      </rPr>
      <t>*Vform</t>
    </r>
    <r>
      <rPr>
        <sz val="8"/>
        <color theme="1"/>
        <rFont val="Verdana"/>
        <family val="2"/>
      </rPr>
      <t>appl</t>
    </r>
    <r>
      <rPr>
        <sz val="10"/>
        <color theme="1"/>
        <rFont val="Verdana"/>
        <family val="2"/>
      </rPr>
      <t>*10</t>
    </r>
    <r>
      <rPr>
        <vertAlign val="superscript"/>
        <sz val="10"/>
        <color theme="1"/>
        <rFont val="Verdana"/>
        <family val="2"/>
      </rPr>
      <t>-6</t>
    </r>
    <r>
      <rPr>
        <sz val="10"/>
        <color theme="1"/>
        <rFont val="Verdana"/>
        <family val="2"/>
      </rPr>
      <t>*Cform</t>
    </r>
    <r>
      <rPr>
        <sz val="8"/>
        <color theme="1"/>
        <rFont val="Verdana"/>
        <family val="2"/>
      </rPr>
      <t>volume</t>
    </r>
    <r>
      <rPr>
        <sz val="10"/>
        <color theme="1"/>
        <rFont val="Verdana"/>
        <family val="2"/>
      </rPr>
      <t>*F</t>
    </r>
    <r>
      <rPr>
        <sz val="8"/>
        <color theme="1"/>
        <rFont val="Verdana"/>
        <family val="2"/>
      </rPr>
      <t>penetr</t>
    </r>
  </si>
  <si>
    <r>
      <t>D1 and B:  Elocal</t>
    </r>
    <r>
      <rPr>
        <sz val="8"/>
        <color theme="1"/>
        <rFont val="Verdana"/>
        <family val="2"/>
      </rPr>
      <t>water</t>
    </r>
    <r>
      <rPr>
        <sz val="10"/>
        <color theme="1"/>
        <rFont val="Verdana"/>
        <family val="2"/>
      </rPr>
      <t xml:space="preserve"> = N</t>
    </r>
    <r>
      <rPr>
        <sz val="8"/>
        <color theme="1"/>
        <rFont val="Verdana"/>
        <family val="2"/>
      </rPr>
      <t>local</t>
    </r>
    <r>
      <rPr>
        <sz val="10"/>
        <color theme="1"/>
        <rFont val="Verdana"/>
        <family val="2"/>
      </rPr>
      <t>*N</t>
    </r>
    <r>
      <rPr>
        <sz val="8"/>
        <color theme="1"/>
        <rFont val="Verdana"/>
        <family val="2"/>
      </rPr>
      <t>appl</t>
    </r>
    <r>
      <rPr>
        <sz val="10"/>
        <color theme="1"/>
        <rFont val="Verdana"/>
        <family val="2"/>
      </rPr>
      <t>*F</t>
    </r>
    <r>
      <rPr>
        <sz val="8"/>
        <color theme="1"/>
        <rFont val="Verdana"/>
        <family val="2"/>
      </rPr>
      <t>inh</t>
    </r>
    <r>
      <rPr>
        <sz val="10"/>
        <color theme="1"/>
        <rFont val="Verdana"/>
        <family val="2"/>
      </rPr>
      <t>*F</t>
    </r>
    <r>
      <rPr>
        <sz val="8"/>
        <color theme="1"/>
        <rFont val="Verdana"/>
        <family val="2"/>
      </rPr>
      <t>water</t>
    </r>
    <r>
      <rPr>
        <sz val="10"/>
        <color theme="1"/>
        <rFont val="Verdana"/>
        <family val="2"/>
      </rPr>
      <t>*Vform</t>
    </r>
    <r>
      <rPr>
        <sz val="8"/>
        <color theme="1"/>
        <rFont val="Verdana"/>
        <family val="2"/>
      </rPr>
      <t>appl</t>
    </r>
    <r>
      <rPr>
        <sz val="10"/>
        <color theme="1"/>
        <rFont val="Verdana"/>
        <family val="2"/>
      </rPr>
      <t>*10</t>
    </r>
    <r>
      <rPr>
        <vertAlign val="superscript"/>
        <sz val="10"/>
        <color theme="1"/>
        <rFont val="Verdana"/>
        <family val="2"/>
      </rPr>
      <t>-9</t>
    </r>
    <r>
      <rPr>
        <sz val="10"/>
        <color theme="1"/>
        <rFont val="Verdana"/>
        <family val="2"/>
      </rPr>
      <t>*RHOform*Cform</t>
    </r>
    <r>
      <rPr>
        <sz val="8"/>
        <color theme="1"/>
        <rFont val="Verdana"/>
        <family val="2"/>
      </rPr>
      <t>weight</t>
    </r>
    <r>
      <rPr>
        <sz val="10"/>
        <color theme="1"/>
        <rFont val="Verdana"/>
        <family val="2"/>
      </rPr>
      <t>*F</t>
    </r>
    <r>
      <rPr>
        <sz val="8"/>
        <color theme="1"/>
        <rFont val="Verdana"/>
        <family val="2"/>
      </rPr>
      <t>penetr</t>
    </r>
  </si>
  <si>
    <r>
      <t>D2 and A:  Elocal</t>
    </r>
    <r>
      <rPr>
        <sz val="8"/>
        <color theme="1"/>
        <rFont val="Verdana"/>
        <family val="2"/>
      </rPr>
      <t>water</t>
    </r>
    <r>
      <rPr>
        <sz val="10"/>
        <color theme="1"/>
        <rFont val="Verdana"/>
        <family val="2"/>
      </rPr>
      <t xml:space="preserve"> = N</t>
    </r>
    <r>
      <rPr>
        <sz val="8"/>
        <color theme="1"/>
        <rFont val="Verdana"/>
        <family val="2"/>
      </rPr>
      <t>local</t>
    </r>
    <r>
      <rPr>
        <sz val="10"/>
        <color theme="1"/>
        <rFont val="Verdana"/>
        <family val="2"/>
      </rPr>
      <t>*N</t>
    </r>
    <r>
      <rPr>
        <sz val="8"/>
        <color theme="1"/>
        <rFont val="Verdana"/>
        <family val="2"/>
      </rPr>
      <t>appl</t>
    </r>
    <r>
      <rPr>
        <sz val="10"/>
        <color theme="1"/>
        <rFont val="Verdana"/>
        <family val="2"/>
      </rPr>
      <t>*F</t>
    </r>
    <r>
      <rPr>
        <sz val="8"/>
        <color theme="1"/>
        <rFont val="Verdana"/>
        <family val="2"/>
      </rPr>
      <t>inh</t>
    </r>
    <r>
      <rPr>
        <sz val="10"/>
        <color theme="1"/>
        <rFont val="Verdana"/>
        <family val="2"/>
      </rPr>
      <t>*F</t>
    </r>
    <r>
      <rPr>
        <sz val="8"/>
        <color theme="1"/>
        <rFont val="Verdana"/>
        <family val="2"/>
      </rPr>
      <t>water</t>
    </r>
    <r>
      <rPr>
        <sz val="10"/>
        <color theme="1"/>
        <rFont val="Verdana"/>
        <family val="2"/>
      </rPr>
      <t>*Qform</t>
    </r>
    <r>
      <rPr>
        <sz val="8"/>
        <color theme="1"/>
        <rFont val="Verdana"/>
        <family val="2"/>
      </rPr>
      <t>appl</t>
    </r>
    <r>
      <rPr>
        <sz val="10"/>
        <color theme="1"/>
        <rFont val="Verdana"/>
        <family val="2"/>
      </rPr>
      <t xml:space="preserve"> / RHOform*Cform</t>
    </r>
    <r>
      <rPr>
        <sz val="8"/>
        <color theme="1"/>
        <rFont val="Verdana"/>
        <family val="2"/>
      </rPr>
      <t>volume</t>
    </r>
    <r>
      <rPr>
        <sz val="10"/>
        <color theme="1"/>
        <rFont val="Verdana"/>
        <family val="2"/>
      </rPr>
      <t>*F</t>
    </r>
    <r>
      <rPr>
        <sz val="8"/>
        <color theme="1"/>
        <rFont val="Verdana"/>
        <family val="2"/>
      </rPr>
      <t>penetr</t>
    </r>
    <r>
      <rPr>
        <sz val="10"/>
        <color theme="1"/>
        <rFont val="Verdana"/>
        <family val="2"/>
      </rPr>
      <t>*10</t>
    </r>
    <r>
      <rPr>
        <vertAlign val="superscript"/>
        <sz val="10"/>
        <color theme="1"/>
        <rFont val="Verdana"/>
        <family val="2"/>
      </rPr>
      <t>-3</t>
    </r>
  </si>
  <si>
    <r>
      <t>D2 and B:  Elocal</t>
    </r>
    <r>
      <rPr>
        <sz val="8"/>
        <color theme="1"/>
        <rFont val="Verdana"/>
        <family val="2"/>
      </rPr>
      <t>water</t>
    </r>
    <r>
      <rPr>
        <sz val="10"/>
        <color theme="1"/>
        <rFont val="Verdana"/>
        <family val="2"/>
      </rPr>
      <t xml:space="preserve"> = N</t>
    </r>
    <r>
      <rPr>
        <sz val="8"/>
        <color theme="1"/>
        <rFont val="Verdana"/>
        <family val="2"/>
      </rPr>
      <t>local</t>
    </r>
    <r>
      <rPr>
        <sz val="10"/>
        <color theme="1"/>
        <rFont val="Verdana"/>
        <family val="2"/>
      </rPr>
      <t>*N</t>
    </r>
    <r>
      <rPr>
        <sz val="8"/>
        <color theme="1"/>
        <rFont val="Verdana"/>
        <family val="2"/>
      </rPr>
      <t>appl</t>
    </r>
    <r>
      <rPr>
        <sz val="10"/>
        <color theme="1"/>
        <rFont val="Verdana"/>
        <family val="2"/>
      </rPr>
      <t>*Finh*F</t>
    </r>
    <r>
      <rPr>
        <sz val="8"/>
        <color theme="1"/>
        <rFont val="Verdana"/>
        <family val="2"/>
      </rPr>
      <t>water</t>
    </r>
    <r>
      <rPr>
        <sz val="10"/>
        <color theme="1"/>
        <rFont val="Verdana"/>
        <family val="2"/>
      </rPr>
      <t>*Qform</t>
    </r>
    <r>
      <rPr>
        <sz val="8"/>
        <color theme="1"/>
        <rFont val="Verdana"/>
        <family val="2"/>
      </rPr>
      <t>appl</t>
    </r>
    <r>
      <rPr>
        <sz val="10"/>
        <color theme="1"/>
        <rFont val="Verdana"/>
        <family val="2"/>
      </rPr>
      <t>*Cform</t>
    </r>
    <r>
      <rPr>
        <sz val="8"/>
        <color theme="1"/>
        <rFont val="Verdana"/>
        <family val="2"/>
      </rPr>
      <t>weight</t>
    </r>
    <r>
      <rPr>
        <sz val="10"/>
        <color theme="1"/>
        <rFont val="Verdana"/>
        <family val="2"/>
      </rPr>
      <t>*F</t>
    </r>
    <r>
      <rPr>
        <sz val="8"/>
        <color theme="1"/>
        <rFont val="Verdana"/>
        <family val="2"/>
      </rPr>
      <t>penetr</t>
    </r>
    <r>
      <rPr>
        <sz val="10"/>
        <color theme="1"/>
        <rFont val="Verdana"/>
        <family val="2"/>
      </rPr>
      <t>*10</t>
    </r>
    <r>
      <rPr>
        <vertAlign val="superscript"/>
        <sz val="10"/>
        <color theme="1"/>
        <rFont val="Verdana"/>
        <family val="2"/>
      </rPr>
      <t>-6</t>
    </r>
  </si>
  <si>
    <r>
      <t>V</t>
    </r>
    <r>
      <rPr>
        <sz val="8"/>
        <color theme="1"/>
        <rFont val="Verdana"/>
        <family val="2"/>
      </rPr>
      <t>product</t>
    </r>
  </si>
  <si>
    <r>
      <t>C</t>
    </r>
    <r>
      <rPr>
        <sz val="8"/>
        <color theme="1"/>
        <rFont val="Verdana"/>
        <family val="2"/>
      </rPr>
      <t>detergent</t>
    </r>
  </si>
  <si>
    <r>
      <t>F</t>
    </r>
    <r>
      <rPr>
        <sz val="8"/>
        <color theme="1"/>
        <rFont val="Verdana"/>
        <family val="2"/>
      </rPr>
      <t>red</t>
    </r>
  </si>
  <si>
    <r>
      <t>AREA</t>
    </r>
    <r>
      <rPr>
        <sz val="8"/>
        <color theme="1"/>
        <rFont val="Verdana"/>
        <family val="2"/>
      </rPr>
      <t>surface</t>
    </r>
  </si>
  <si>
    <r>
      <t>F</t>
    </r>
    <r>
      <rPr>
        <sz val="8"/>
        <color theme="1"/>
        <rFont val="Verdana"/>
        <family val="2"/>
      </rPr>
      <t>dis</t>
    </r>
  </si>
  <si>
    <r>
      <rPr>
        <b/>
        <sz val="10"/>
        <color theme="1"/>
        <rFont val="Verdana"/>
        <family val="2"/>
      </rPr>
      <t>Elocal</t>
    </r>
    <r>
      <rPr>
        <b/>
        <sz val="8"/>
        <color theme="1"/>
        <rFont val="Verdana"/>
        <family val="2"/>
      </rPr>
      <t xml:space="preserve">water </t>
    </r>
    <r>
      <rPr>
        <sz val="10"/>
        <color theme="1"/>
        <rFont val="Verdana"/>
        <family val="2"/>
      </rPr>
      <t>= Vform * Cform * Fconc * AREA</t>
    </r>
    <r>
      <rPr>
        <sz val="8"/>
        <color theme="1"/>
        <rFont val="Verdana"/>
        <family val="2"/>
      </rPr>
      <t>surface</t>
    </r>
    <r>
      <rPr>
        <sz val="10"/>
        <color theme="1"/>
        <rFont val="Verdana"/>
        <family val="2"/>
      </rPr>
      <t xml:space="preserve"> * N</t>
    </r>
    <r>
      <rPr>
        <sz val="8"/>
        <color theme="1"/>
        <rFont val="Verdana"/>
        <family val="2"/>
      </rPr>
      <t>appl</t>
    </r>
    <r>
      <rPr>
        <sz val="10"/>
        <color theme="1"/>
        <rFont val="Verdana"/>
        <family val="2"/>
      </rPr>
      <t xml:space="preserve"> * (1-F</t>
    </r>
    <r>
      <rPr>
        <sz val="8"/>
        <color theme="1"/>
        <rFont val="Verdana"/>
        <family val="2"/>
      </rPr>
      <t>dis</t>
    </r>
    <r>
      <rPr>
        <sz val="10"/>
        <color theme="1"/>
        <rFont val="Verdana"/>
        <family val="2"/>
      </rPr>
      <t>) * F</t>
    </r>
    <r>
      <rPr>
        <sz val="8"/>
        <color theme="1"/>
        <rFont val="Verdana"/>
        <family val="2"/>
      </rPr>
      <t>water</t>
    </r>
    <r>
      <rPr>
        <sz val="10"/>
        <color theme="1"/>
        <rFont val="Verdana"/>
        <family val="2"/>
      </rPr>
      <t xml:space="preserve"> * F</t>
    </r>
    <r>
      <rPr>
        <sz val="8"/>
        <color theme="1"/>
        <rFont val="Verdana"/>
        <family val="2"/>
      </rPr>
      <t>penetr</t>
    </r>
    <r>
      <rPr>
        <sz val="10"/>
        <color theme="1"/>
        <rFont val="Verdana"/>
        <family val="2"/>
      </rPr>
      <t xml:space="preserve"> / 1000</t>
    </r>
  </si>
  <si>
    <r>
      <t>N</t>
    </r>
    <r>
      <rPr>
        <sz val="8"/>
        <color theme="1"/>
        <rFont val="Verdana"/>
        <family val="2"/>
      </rPr>
      <t>house</t>
    </r>
  </si>
  <si>
    <r>
      <t>N</t>
    </r>
    <r>
      <rPr>
        <sz val="8"/>
        <color theme="1"/>
        <rFont val="Verdana"/>
        <family val="2"/>
      </rPr>
      <t>wash</t>
    </r>
  </si>
  <si>
    <r>
      <t>F</t>
    </r>
    <r>
      <rPr>
        <sz val="8"/>
        <color theme="1"/>
        <rFont val="Verdana"/>
        <family val="2"/>
      </rPr>
      <t>liquid</t>
    </r>
  </si>
  <si>
    <r>
      <t>DOSE</t>
    </r>
    <r>
      <rPr>
        <sz val="8"/>
        <color theme="1"/>
        <rFont val="Verdana"/>
        <family val="2"/>
      </rPr>
      <t>liquid</t>
    </r>
  </si>
  <si>
    <r>
      <t>DOSE</t>
    </r>
    <r>
      <rPr>
        <sz val="8"/>
        <color theme="1"/>
        <rFont val="Verdana"/>
        <family val="2"/>
      </rPr>
      <t>fabricsoftener</t>
    </r>
  </si>
  <si>
    <r>
      <rPr>
        <b/>
        <sz val="10"/>
        <color theme="1"/>
        <rFont val="Verdana"/>
        <family val="2"/>
      </rPr>
      <t>Elocal</t>
    </r>
    <r>
      <rPr>
        <b/>
        <sz val="8"/>
        <color theme="1"/>
        <rFont val="Verdana"/>
        <family val="2"/>
      </rPr>
      <t xml:space="preserve">water </t>
    </r>
    <r>
      <rPr>
        <sz val="10"/>
        <color theme="1"/>
        <rFont val="Verdana"/>
        <family val="2"/>
      </rPr>
      <t>= N</t>
    </r>
    <r>
      <rPr>
        <sz val="8"/>
        <color theme="1"/>
        <rFont val="Verdana"/>
        <family val="2"/>
      </rPr>
      <t>house</t>
    </r>
    <r>
      <rPr>
        <sz val="10"/>
        <color theme="1"/>
        <rFont val="Verdana"/>
        <family val="2"/>
      </rPr>
      <t xml:space="preserve"> * N</t>
    </r>
    <r>
      <rPr>
        <sz val="8"/>
        <color theme="1"/>
        <rFont val="Verdana"/>
        <family val="2"/>
      </rPr>
      <t>wash</t>
    </r>
    <r>
      <rPr>
        <sz val="10"/>
        <color theme="1"/>
        <rFont val="Verdana"/>
        <family val="2"/>
      </rPr>
      <t xml:space="preserve"> * F</t>
    </r>
    <r>
      <rPr>
        <sz val="8"/>
        <color theme="1"/>
        <rFont val="Verdana"/>
        <family val="2"/>
      </rPr>
      <t>water</t>
    </r>
    <r>
      <rPr>
        <sz val="10"/>
        <color theme="1"/>
        <rFont val="Verdana"/>
        <family val="2"/>
      </rPr>
      <t xml:space="preserve"> * Cform</t>
    </r>
    <r>
      <rPr>
        <sz val="8"/>
        <color theme="1"/>
        <rFont val="Verdana"/>
        <family val="2"/>
      </rPr>
      <t>volume</t>
    </r>
    <r>
      <rPr>
        <sz val="10"/>
        <color theme="1"/>
        <rFont val="Verdana"/>
        <family val="2"/>
      </rPr>
      <t xml:space="preserve"> *[(F</t>
    </r>
    <r>
      <rPr>
        <sz val="8"/>
        <color theme="1"/>
        <rFont val="Verdana"/>
        <family val="2"/>
      </rPr>
      <t>liquid</t>
    </r>
    <r>
      <rPr>
        <sz val="10"/>
        <color theme="1"/>
        <rFont val="Verdana"/>
        <family val="2"/>
      </rPr>
      <t xml:space="preserve"> * DOSE</t>
    </r>
    <r>
      <rPr>
        <sz val="8"/>
        <color theme="1"/>
        <rFont val="Verdana"/>
        <family val="2"/>
      </rPr>
      <t>liquid</t>
    </r>
    <r>
      <rPr>
        <sz val="10"/>
        <color theme="1"/>
        <rFont val="Verdana"/>
        <family val="2"/>
      </rPr>
      <t>) + DOSE</t>
    </r>
    <r>
      <rPr>
        <sz val="8"/>
        <color theme="1"/>
        <rFont val="Verdana"/>
        <family val="2"/>
      </rPr>
      <t>fabricsoftener</t>
    </r>
    <r>
      <rPr>
        <sz val="10"/>
        <color theme="1"/>
        <rFont val="Verdana"/>
        <family val="2"/>
      </rPr>
      <t>] * F</t>
    </r>
    <r>
      <rPr>
        <sz val="8"/>
        <color theme="1"/>
        <rFont val="Verdana"/>
        <family val="2"/>
      </rPr>
      <t>penetr</t>
    </r>
  </si>
  <si>
    <r>
      <t>Vform</t>
    </r>
    <r>
      <rPr>
        <sz val="8"/>
        <color theme="1"/>
        <rFont val="Verdana"/>
        <family val="2"/>
      </rPr>
      <t>inh</t>
    </r>
  </si>
  <si>
    <r>
      <t>Cform</t>
    </r>
    <r>
      <rPr>
        <sz val="8"/>
        <color theme="1"/>
        <rFont val="Verdana"/>
        <family val="2"/>
      </rPr>
      <t>volume</t>
    </r>
  </si>
  <si>
    <r>
      <rPr>
        <b/>
        <sz val="10"/>
        <color theme="1"/>
        <rFont val="Verdana"/>
        <family val="2"/>
      </rPr>
      <t>Elocal</t>
    </r>
    <r>
      <rPr>
        <b/>
        <sz val="8"/>
        <color theme="1"/>
        <rFont val="Verdana"/>
        <family val="2"/>
      </rPr>
      <t xml:space="preserve">water </t>
    </r>
    <r>
      <rPr>
        <sz val="10"/>
        <color theme="1"/>
        <rFont val="Verdana"/>
        <family val="2"/>
      </rPr>
      <t>= N</t>
    </r>
    <r>
      <rPr>
        <sz val="8"/>
        <color theme="1"/>
        <rFont val="Verdana"/>
        <family val="2"/>
      </rPr>
      <t xml:space="preserve">local </t>
    </r>
    <r>
      <rPr>
        <sz val="10"/>
        <color theme="1"/>
        <rFont val="Verdana"/>
        <family val="2"/>
      </rPr>
      <t>* Vform</t>
    </r>
    <r>
      <rPr>
        <sz val="8"/>
        <color theme="1"/>
        <rFont val="Verdana"/>
        <family val="2"/>
      </rPr>
      <t>inh</t>
    </r>
    <r>
      <rPr>
        <sz val="10"/>
        <color theme="1"/>
        <rFont val="Verdana"/>
        <family val="2"/>
      </rPr>
      <t xml:space="preserve"> * F</t>
    </r>
    <r>
      <rPr>
        <sz val="8"/>
        <color theme="1"/>
        <rFont val="Verdana"/>
        <family val="2"/>
      </rPr>
      <t>water</t>
    </r>
    <r>
      <rPr>
        <sz val="10"/>
        <color theme="1"/>
        <rFont val="Verdana"/>
        <family val="2"/>
      </rPr>
      <t xml:space="preserve"> * Cform</t>
    </r>
    <r>
      <rPr>
        <sz val="8"/>
        <color theme="1"/>
        <rFont val="Verdana"/>
        <family val="2"/>
      </rPr>
      <t>volume</t>
    </r>
    <r>
      <rPr>
        <sz val="10"/>
        <color theme="1"/>
        <rFont val="Verdana"/>
        <family val="2"/>
      </rPr>
      <t xml:space="preserve"> * F</t>
    </r>
    <r>
      <rPr>
        <sz val="8"/>
        <color theme="1"/>
        <rFont val="Verdana"/>
        <family val="2"/>
      </rPr>
      <t>penetr</t>
    </r>
  </si>
  <si>
    <r>
      <t xml:space="preserve">Consumption per capita </t>
    </r>
    <r>
      <rPr>
        <vertAlign val="superscript"/>
        <sz val="10"/>
        <color theme="1"/>
        <rFont val="Verdana"/>
        <family val="2"/>
      </rPr>
      <t>2</t>
    </r>
  </si>
  <si>
    <t>Qform</t>
  </si>
  <si>
    <r>
      <t>kg.kg</t>
    </r>
    <r>
      <rPr>
        <vertAlign val="superscript"/>
        <sz val="10"/>
        <color theme="1"/>
        <rFont val="Verdana"/>
        <family val="2"/>
      </rPr>
      <t>-1</t>
    </r>
  </si>
  <si>
    <r>
      <t>g.d</t>
    </r>
    <r>
      <rPr>
        <vertAlign val="superscript"/>
        <sz val="10"/>
        <color theme="1"/>
        <rFont val="Verdana"/>
        <family val="2"/>
      </rPr>
      <t>-1</t>
    </r>
  </si>
  <si>
    <t>Fraction of substance disintegrated during or after application  (before release to the sewer system)</t>
  </si>
  <si>
    <t xml:space="preserve">Local release to waste water </t>
  </si>
  <si>
    <t>1. Preservation of human hygienic products (use area: soaps, shampoos,…)</t>
  </si>
  <si>
    <t>2. Preservation of washing and cleaning fluids for professional use (use area: detergents used in industry for large surfaces, in large scale laundry,…)</t>
  </si>
  <si>
    <t>3. Preservation of washing and cleaning fluids for non-professional use (use area: detergents for dish washing, fabric washing, surface cleaning,…)</t>
  </si>
  <si>
    <t>Fraction of the main source (STP)</t>
  </si>
  <si>
    <r>
      <t>t.yr</t>
    </r>
    <r>
      <rPr>
        <vertAlign val="superscript"/>
        <sz val="10"/>
        <color theme="1"/>
        <rFont val="Verdana"/>
        <family val="2"/>
      </rPr>
      <t>-1</t>
    </r>
  </si>
  <si>
    <t>Fmainsource</t>
  </si>
  <si>
    <r>
      <t>Fprodvol</t>
    </r>
    <r>
      <rPr>
        <sz val="8"/>
        <color theme="1"/>
        <rFont val="Verdana"/>
        <family val="2"/>
      </rPr>
      <t>reg</t>
    </r>
  </si>
  <si>
    <t>Number of emission days (private use)</t>
  </si>
  <si>
    <t>Temission</t>
  </si>
  <si>
    <t>Relevant tonnage in the region for this application</t>
  </si>
  <si>
    <r>
      <t>TONNAGE</t>
    </r>
    <r>
      <rPr>
        <sz val="8"/>
        <color theme="1"/>
        <rFont val="Verdana"/>
        <family val="2"/>
      </rPr>
      <t>reg</t>
    </r>
  </si>
  <si>
    <r>
      <rPr>
        <b/>
        <sz val="10"/>
        <color theme="1"/>
        <rFont val="Verdana"/>
        <family val="2"/>
      </rPr>
      <t>TONNAGE</t>
    </r>
    <r>
      <rPr>
        <b/>
        <sz val="8"/>
        <color theme="1"/>
        <rFont val="Verdana"/>
        <family val="2"/>
      </rPr>
      <t>reg</t>
    </r>
    <r>
      <rPr>
        <b/>
        <sz val="10"/>
        <color theme="1"/>
        <rFont val="Verdana"/>
        <family val="2"/>
      </rPr>
      <t xml:space="preserve"> </t>
    </r>
    <r>
      <rPr>
        <sz val="10"/>
        <color theme="1"/>
        <rFont val="Verdana"/>
        <family val="2"/>
      </rPr>
      <t>= TONNAGE * Fprodvol</t>
    </r>
    <r>
      <rPr>
        <sz val="8"/>
        <color theme="1"/>
        <rFont val="Verdana"/>
        <family val="2"/>
      </rPr>
      <t>reg</t>
    </r>
  </si>
  <si>
    <r>
      <t xml:space="preserve">Fraction of substance disintegrated during or after application (before release to the sewer system) </t>
    </r>
    <r>
      <rPr>
        <vertAlign val="superscript"/>
        <sz val="10"/>
        <color theme="1"/>
        <rFont val="Verdana"/>
        <family val="2"/>
      </rPr>
      <t>2</t>
    </r>
  </si>
  <si>
    <r>
      <t>2. TONNAGE</t>
    </r>
    <r>
      <rPr>
        <sz val="8"/>
        <color theme="1"/>
        <rFont val="Verdana"/>
        <family val="2"/>
      </rPr>
      <t>reg</t>
    </r>
    <r>
      <rPr>
        <sz val="10"/>
        <color theme="1"/>
        <rFont val="Verdana"/>
        <family val="2"/>
      </rPr>
      <t xml:space="preserve"> and Elocal</t>
    </r>
    <r>
      <rPr>
        <sz val="8"/>
        <color theme="1"/>
        <rFont val="Verdana"/>
        <family val="2"/>
      </rPr>
      <t>water</t>
    </r>
    <r>
      <rPr>
        <sz val="10"/>
        <color theme="1"/>
        <rFont val="Verdana"/>
        <family val="2"/>
      </rPr>
      <t xml:space="preserve"> will be automatically calculated.</t>
    </r>
  </si>
  <si>
    <t>2. Select consumption per inhabitant or per application from the pick list (with the appropriate unit). The "consumption" value will automatically be filled in.</t>
  </si>
  <si>
    <t>3. If "Consumption per inhabitant per day" is selected, enter the corresponding value for the Vform_inh or the Qform_inh.  If "Type of end product" selected was "Soap and liquid soap hand disinfectant" or "Other hand disinfectants" enter also the Vform_appl/Qform_appl and Nappl values.</t>
  </si>
  <si>
    <t>1. In the Input table select the form ("volume" or "weight") of the active substance from the pick list and introduce the corresponding value for the Cform.</t>
  </si>
  <si>
    <r>
      <t>4. Elocal</t>
    </r>
    <r>
      <rPr>
        <sz val="8"/>
        <rFont val="Verdana"/>
        <family val="2"/>
      </rPr>
      <t>water</t>
    </r>
    <r>
      <rPr>
        <sz val="10"/>
        <rFont val="Verdana"/>
        <family val="2"/>
      </rPr>
      <t xml:space="preserve"> will be automatically calculated.</t>
    </r>
  </si>
  <si>
    <t>1. In the Input table enter the TONNAGE value.</t>
  </si>
  <si>
    <t xml:space="preserve">1. In the Input table enter the value for concentration of active substance in detergent. </t>
  </si>
  <si>
    <r>
      <t>2. Elocal</t>
    </r>
    <r>
      <rPr>
        <sz val="8"/>
        <rFont val="Verdana"/>
        <family val="2"/>
      </rPr>
      <t>water</t>
    </r>
    <r>
      <rPr>
        <sz val="10"/>
        <rFont val="Verdana"/>
        <family val="2"/>
      </rPr>
      <t xml:space="preserve"> will be automatically calculated.</t>
    </r>
  </si>
  <si>
    <t>2) A market penetration factor of 1 is appropriate for this professional use of detergents as the scenario is restricted to one activity on one place.</t>
  </si>
  <si>
    <t>Concentration of active substance in the concentrated detergent</t>
  </si>
  <si>
    <r>
      <t>2) This corresponds to 1 ml/m</t>
    </r>
    <r>
      <rPr>
        <i/>
        <vertAlign val="superscript"/>
        <sz val="10"/>
        <color rgb="FF0070C0"/>
        <rFont val="Verdana"/>
        <family val="2"/>
      </rPr>
      <t>2</t>
    </r>
    <r>
      <rPr>
        <i/>
        <sz val="10"/>
        <color rgb="FF0070C0"/>
        <rFont val="Verdana"/>
        <family val="2"/>
      </rPr>
      <t xml:space="preserve"> of undiluted detergent (i.e. endproduct) considering 100 times dilution of the detergent.</t>
    </r>
  </si>
  <si>
    <t xml:space="preserve">1. In the Input table enter the value for active substance in the product. </t>
  </si>
  <si>
    <t>2) General purpose and lavatory must not be summed up by default but could be summed up in accordance with the intended use proposed by the applicant.</t>
  </si>
  <si>
    <t>3) A market penetration factor of 1 is appropriate for this professional use of detergents as the scenario is restricted to one activity in one place.</t>
  </si>
  <si>
    <t xml:space="preserve">1. In the Input table enter the value for concentration at which active substance is used. </t>
  </si>
  <si>
    <t>EU-production volume of the in-can preservative for the use in decorative paints</t>
  </si>
  <si>
    <t>Quantity of the active substance in the coating</t>
  </si>
  <si>
    <r>
      <t>Q</t>
    </r>
    <r>
      <rPr>
        <sz val="8"/>
        <color theme="1"/>
        <rFont val="Verdana"/>
        <family val="2"/>
      </rPr>
      <t>subst_in_coat</t>
    </r>
  </si>
  <si>
    <t>Quantity of coating product produced per year</t>
  </si>
  <si>
    <r>
      <t>Q</t>
    </r>
    <r>
      <rPr>
        <sz val="8"/>
        <color theme="1"/>
        <rFont val="Verdana"/>
        <family val="2"/>
      </rPr>
      <t>init_coat_ann</t>
    </r>
  </si>
  <si>
    <t>Fraction of EU production volume per region</t>
  </si>
  <si>
    <t>Number of emission days</t>
  </si>
  <si>
    <r>
      <t>F</t>
    </r>
    <r>
      <rPr>
        <sz val="8"/>
        <color theme="1"/>
        <rFont val="Verdana"/>
        <family val="2"/>
      </rPr>
      <t>mainsource</t>
    </r>
  </si>
  <si>
    <t>Volatiles</t>
  </si>
  <si>
    <t>Direct losses (evaporation) fraction (%) of substance released to air</t>
  </si>
  <si>
    <r>
      <t>F</t>
    </r>
    <r>
      <rPr>
        <sz val="8"/>
        <color theme="1"/>
        <rFont val="Verdana"/>
        <family val="2"/>
      </rPr>
      <t>init_coat</t>
    </r>
    <r>
      <rPr>
        <sz val="10"/>
        <color theme="1"/>
        <rFont val="Verdana"/>
        <family val="2"/>
      </rPr>
      <t xml:space="preserve">, </t>
    </r>
    <r>
      <rPr>
        <sz val="8"/>
        <color theme="1"/>
        <rFont val="Verdana"/>
        <family val="2"/>
      </rPr>
      <t>direct_loss</t>
    </r>
    <r>
      <rPr>
        <sz val="10"/>
        <color theme="1"/>
        <rFont val="Verdana"/>
        <family val="2"/>
      </rPr>
      <t xml:space="preserve">, </t>
    </r>
    <r>
      <rPr>
        <sz val="8"/>
        <color theme="1"/>
        <rFont val="Verdana"/>
        <family val="2"/>
      </rPr>
      <t>air</t>
    </r>
  </si>
  <si>
    <t>2) If the active substance degrades during or after the application this can be considered by the additional factor of Fdis.</t>
  </si>
  <si>
    <t>2) The fate of the volatile and the solid fraction of the decorative paints needs to be distinguished. The fractions given here refer to the respective fractions only, not to the amount of the initial product. Please see OECD No. 22, 4.3 "Emission estimates" and table 4.2 for further advice and typical compositions of paints on the market.</t>
  </si>
  <si>
    <r>
      <t xml:space="preserve">Volatiles </t>
    </r>
    <r>
      <rPr>
        <b/>
        <vertAlign val="superscript"/>
        <sz val="10"/>
        <color theme="1"/>
        <rFont val="Verdana"/>
        <family val="2"/>
      </rPr>
      <t>2</t>
    </r>
  </si>
  <si>
    <r>
      <t xml:space="preserve">Solids </t>
    </r>
    <r>
      <rPr>
        <b/>
        <vertAlign val="superscript"/>
        <sz val="10"/>
        <color theme="1"/>
        <rFont val="Verdana"/>
        <family val="2"/>
      </rPr>
      <t>2</t>
    </r>
  </si>
  <si>
    <t>Brush residues fraction (%) of substance released to water</t>
  </si>
  <si>
    <r>
      <t>F</t>
    </r>
    <r>
      <rPr>
        <sz val="8"/>
        <color theme="1"/>
        <rFont val="Verdana"/>
        <family val="2"/>
      </rPr>
      <t>init_coat</t>
    </r>
    <r>
      <rPr>
        <sz val="10"/>
        <color theme="1"/>
        <rFont val="Verdana"/>
        <family val="2"/>
      </rPr>
      <t xml:space="preserve">, </t>
    </r>
    <r>
      <rPr>
        <sz val="8"/>
        <color theme="1"/>
        <rFont val="Verdana"/>
        <family val="2"/>
      </rPr>
      <t>brush_resid</t>
    </r>
    <r>
      <rPr>
        <sz val="10"/>
        <color theme="1"/>
        <rFont val="Verdana"/>
        <family val="2"/>
      </rPr>
      <t xml:space="preserve">, </t>
    </r>
    <r>
      <rPr>
        <sz val="8"/>
        <color theme="1"/>
        <rFont val="Verdana"/>
        <family val="2"/>
      </rPr>
      <t>water</t>
    </r>
  </si>
  <si>
    <t>Release of substance to air during application</t>
  </si>
  <si>
    <t>Solids</t>
  </si>
  <si>
    <t>Release of substance to water during application</t>
  </si>
  <si>
    <r>
      <t>E</t>
    </r>
    <r>
      <rPr>
        <sz val="8"/>
        <color theme="1"/>
        <rFont val="Verdana"/>
        <family val="2"/>
      </rPr>
      <t>init_coat, air</t>
    </r>
  </si>
  <si>
    <r>
      <t>E</t>
    </r>
    <r>
      <rPr>
        <sz val="8"/>
        <color theme="1"/>
        <rFont val="Verdana"/>
        <family val="2"/>
      </rPr>
      <t>init_coat, water</t>
    </r>
  </si>
  <si>
    <r>
      <rPr>
        <b/>
        <sz val="10"/>
        <color theme="1"/>
        <rFont val="Verdana"/>
        <family val="2"/>
      </rPr>
      <t>Q</t>
    </r>
    <r>
      <rPr>
        <b/>
        <sz val="8"/>
        <color theme="1"/>
        <rFont val="Verdana"/>
        <family val="2"/>
      </rPr>
      <t>init_coat_ann</t>
    </r>
    <r>
      <rPr>
        <sz val="10"/>
        <color theme="1"/>
        <rFont val="Verdana"/>
        <family val="2"/>
      </rPr>
      <t xml:space="preserve"> = TONNAGE / Q</t>
    </r>
    <r>
      <rPr>
        <sz val="8"/>
        <color theme="1"/>
        <rFont val="Verdana"/>
        <family val="2"/>
      </rPr>
      <t>subst_in_coat</t>
    </r>
  </si>
  <si>
    <t>1. In the Input table enter the TONNAGE value and the quantity of the active substance in the coating.</t>
  </si>
  <si>
    <t>2. The quantity of coating product produced per year will be automatically calculated, as well as the releases of the substance to air, to water and to waste during application.</t>
  </si>
  <si>
    <r>
      <t>AREA</t>
    </r>
    <r>
      <rPr>
        <sz val="8"/>
        <color theme="1"/>
        <rFont val="Verdana"/>
        <family val="2"/>
      </rPr>
      <t>façade</t>
    </r>
    <r>
      <rPr>
        <sz val="10"/>
        <color theme="1"/>
        <rFont val="Verdana"/>
        <family val="2"/>
      </rPr>
      <t xml:space="preserve">  </t>
    </r>
  </si>
  <si>
    <t xml:space="preserve">Application rate of the product </t>
  </si>
  <si>
    <r>
      <t>Q</t>
    </r>
    <r>
      <rPr>
        <sz val="8"/>
        <color theme="1"/>
        <rFont val="Verdana"/>
        <family val="2"/>
      </rPr>
      <t xml:space="preserve">application,product </t>
    </r>
  </si>
  <si>
    <t>Fraction of active substance in product</t>
  </si>
  <si>
    <r>
      <t>F</t>
    </r>
    <r>
      <rPr>
        <sz val="8"/>
        <color theme="1"/>
        <rFont val="Verdana"/>
        <family val="2"/>
      </rPr>
      <t>ai</t>
    </r>
  </si>
  <si>
    <t>Density of product</t>
  </si>
  <si>
    <r>
      <t>RHO</t>
    </r>
    <r>
      <rPr>
        <sz val="8"/>
        <color theme="1"/>
        <rFont val="Verdana"/>
        <family val="2"/>
      </rPr>
      <t>product</t>
    </r>
  </si>
  <si>
    <r>
      <t>If information on the application rate is not available, the default value of 0.25 l.m</t>
    </r>
    <r>
      <rPr>
        <vertAlign val="superscript"/>
        <sz val="10"/>
        <color theme="1"/>
        <rFont val="Verdana"/>
        <family val="2"/>
      </rPr>
      <t>-2</t>
    </r>
    <r>
      <rPr>
        <sz val="10"/>
        <color theme="1"/>
        <rFont val="Verdana"/>
        <family val="2"/>
      </rPr>
      <t xml:space="preserve"> can be used.</t>
    </r>
  </si>
  <si>
    <t>Fraction of product lost during application by spray drift</t>
  </si>
  <si>
    <t>Fraction of product lost during application due to runoff</t>
  </si>
  <si>
    <r>
      <t>F</t>
    </r>
    <r>
      <rPr>
        <sz val="8"/>
        <color theme="1"/>
        <rFont val="Verdana"/>
        <family val="2"/>
      </rPr>
      <t>drift</t>
    </r>
  </si>
  <si>
    <r>
      <t>F</t>
    </r>
    <r>
      <rPr>
        <sz val="8"/>
        <color theme="1"/>
        <rFont val="Verdana"/>
        <family val="2"/>
      </rPr>
      <t>runoff</t>
    </r>
  </si>
  <si>
    <t>Fraction of spray drift depositing to a 0.5 m wide soil band 1-1.5 m distant from the house (tier 2)</t>
  </si>
  <si>
    <t>Run off: soil volume adjacent to treated surface</t>
  </si>
  <si>
    <t>Drift: soil volume to which deposition occurs in tier 1</t>
  </si>
  <si>
    <t>Drift: soil volume to which deposition occurs in tier 2</t>
  </si>
  <si>
    <t>Bulk density of wet soil</t>
  </si>
  <si>
    <r>
      <t>RHO</t>
    </r>
    <r>
      <rPr>
        <sz val="8"/>
        <color theme="1"/>
        <rFont val="Verdana"/>
        <family val="2"/>
      </rPr>
      <t>soil</t>
    </r>
  </si>
  <si>
    <r>
      <t>F</t>
    </r>
    <r>
      <rPr>
        <sz val="8"/>
        <color theme="1"/>
        <rFont val="Verdana"/>
        <family val="2"/>
      </rPr>
      <t>dep</t>
    </r>
  </si>
  <si>
    <r>
      <t>V</t>
    </r>
    <r>
      <rPr>
        <sz val="8"/>
        <color theme="1"/>
        <rFont val="Verdana"/>
        <family val="2"/>
      </rPr>
      <t>soil,runoff</t>
    </r>
  </si>
  <si>
    <r>
      <t>V</t>
    </r>
    <r>
      <rPr>
        <sz val="8"/>
        <color theme="1"/>
        <rFont val="Verdana"/>
        <family val="2"/>
      </rPr>
      <t>soil,drift-tier 1</t>
    </r>
  </si>
  <si>
    <r>
      <t>V</t>
    </r>
    <r>
      <rPr>
        <sz val="8"/>
        <color theme="1"/>
        <rFont val="Verdana"/>
        <family val="2"/>
      </rPr>
      <t>soil,drift-tier 2</t>
    </r>
  </si>
  <si>
    <r>
      <t>kg</t>
    </r>
    <r>
      <rPr>
        <sz val="8"/>
        <color theme="1"/>
        <rFont val="Verdana"/>
        <family val="2"/>
      </rPr>
      <t>wwt</t>
    </r>
    <r>
      <rPr>
        <sz val="10"/>
        <color theme="1"/>
        <rFont val="Verdana"/>
        <family val="2"/>
      </rPr>
      <t>.m</t>
    </r>
    <r>
      <rPr>
        <vertAlign val="superscript"/>
        <sz val="10"/>
        <color theme="1"/>
        <rFont val="Verdana"/>
        <family val="2"/>
      </rPr>
      <t>-3</t>
    </r>
  </si>
  <si>
    <t>Local emission of active substance during application due to spray drift (tier 1 )</t>
  </si>
  <si>
    <r>
      <t>Elocal</t>
    </r>
    <r>
      <rPr>
        <sz val="8"/>
        <rFont val="Verdana"/>
        <family val="2"/>
      </rPr>
      <t>spray_drift, façade_tier 1</t>
    </r>
  </si>
  <si>
    <r>
      <t>Elocal</t>
    </r>
    <r>
      <rPr>
        <sz val="8"/>
        <rFont val="Verdana"/>
        <family val="2"/>
      </rPr>
      <t>spray_drift, façade_tier 2</t>
    </r>
  </si>
  <si>
    <t>Local emission of active substance during application due to spray drift (tier 2 )</t>
  </si>
  <si>
    <r>
      <rPr>
        <b/>
        <sz val="10"/>
        <rFont val="Verdana"/>
        <family val="2"/>
      </rPr>
      <t>Elocal</t>
    </r>
    <r>
      <rPr>
        <b/>
        <sz val="8"/>
        <rFont val="Verdana"/>
        <family val="2"/>
      </rPr>
      <t>spray_drif, façade_tier 1</t>
    </r>
    <r>
      <rPr>
        <sz val="10"/>
        <rFont val="Verdana"/>
        <family val="2"/>
      </rPr>
      <t xml:space="preserve"> = AREA</t>
    </r>
    <r>
      <rPr>
        <sz val="8"/>
        <rFont val="Verdana"/>
        <family val="2"/>
      </rPr>
      <t>façade</t>
    </r>
    <r>
      <rPr>
        <sz val="10"/>
        <rFont val="Verdana"/>
        <family val="2"/>
      </rPr>
      <t xml:space="preserve"> * Q</t>
    </r>
    <r>
      <rPr>
        <sz val="8"/>
        <rFont val="Verdana"/>
        <family val="2"/>
      </rPr>
      <t>application,product</t>
    </r>
    <r>
      <rPr>
        <sz val="10"/>
        <rFont val="Verdana"/>
        <family val="2"/>
      </rPr>
      <t xml:space="preserve"> * F</t>
    </r>
    <r>
      <rPr>
        <sz val="8"/>
        <rFont val="Verdana"/>
        <family val="2"/>
      </rPr>
      <t>ai</t>
    </r>
    <r>
      <rPr>
        <sz val="10"/>
        <rFont val="Verdana"/>
        <family val="2"/>
      </rPr>
      <t xml:space="preserve"> * RHO</t>
    </r>
    <r>
      <rPr>
        <sz val="8"/>
        <rFont val="Verdana"/>
        <family val="2"/>
      </rPr>
      <t>product</t>
    </r>
    <r>
      <rPr>
        <sz val="10"/>
        <rFont val="Verdana"/>
        <family val="2"/>
      </rPr>
      <t xml:space="preserve"> * F</t>
    </r>
    <r>
      <rPr>
        <sz val="8"/>
        <rFont val="Verdana"/>
        <family val="2"/>
      </rPr>
      <t>drift</t>
    </r>
    <r>
      <rPr>
        <sz val="10"/>
        <rFont val="Verdana"/>
        <family val="2"/>
      </rPr>
      <t xml:space="preserve"> * 0.001</t>
    </r>
  </si>
  <si>
    <r>
      <rPr>
        <b/>
        <sz val="10"/>
        <rFont val="Verdana"/>
        <family val="2"/>
      </rPr>
      <t>Elocal</t>
    </r>
    <r>
      <rPr>
        <b/>
        <sz val="8"/>
        <rFont val="Verdana"/>
        <family val="2"/>
      </rPr>
      <t>spray_drif, façade_tier 2</t>
    </r>
    <r>
      <rPr>
        <sz val="10"/>
        <rFont val="Verdana"/>
        <family val="2"/>
      </rPr>
      <t xml:space="preserve"> = AREA</t>
    </r>
    <r>
      <rPr>
        <sz val="8"/>
        <rFont val="Verdana"/>
        <family val="2"/>
      </rPr>
      <t>façade</t>
    </r>
    <r>
      <rPr>
        <sz val="10"/>
        <rFont val="Verdana"/>
        <family val="2"/>
      </rPr>
      <t xml:space="preserve"> * Q</t>
    </r>
    <r>
      <rPr>
        <sz val="8"/>
        <rFont val="Verdana"/>
        <family val="2"/>
      </rPr>
      <t>application,product</t>
    </r>
    <r>
      <rPr>
        <sz val="10"/>
        <rFont val="Verdana"/>
        <family val="2"/>
      </rPr>
      <t xml:space="preserve"> * F</t>
    </r>
    <r>
      <rPr>
        <sz val="8"/>
        <rFont val="Verdana"/>
        <family val="2"/>
      </rPr>
      <t>ai</t>
    </r>
    <r>
      <rPr>
        <sz val="10"/>
        <rFont val="Verdana"/>
        <family val="2"/>
      </rPr>
      <t xml:space="preserve"> * RHO</t>
    </r>
    <r>
      <rPr>
        <sz val="8"/>
        <rFont val="Verdana"/>
        <family val="2"/>
      </rPr>
      <t>product</t>
    </r>
    <r>
      <rPr>
        <sz val="10"/>
        <rFont val="Verdana"/>
        <family val="2"/>
      </rPr>
      <t xml:space="preserve"> * F</t>
    </r>
    <r>
      <rPr>
        <sz val="8"/>
        <rFont val="Verdana"/>
        <family val="2"/>
      </rPr>
      <t>drift</t>
    </r>
    <r>
      <rPr>
        <sz val="10"/>
        <rFont val="Verdana"/>
        <family val="2"/>
      </rPr>
      <t xml:space="preserve"> * 0.001 * F</t>
    </r>
    <r>
      <rPr>
        <sz val="8"/>
        <rFont val="Verdana"/>
        <family val="2"/>
      </rPr>
      <t>dep</t>
    </r>
  </si>
  <si>
    <t>Local emission of active substance during application due to runoff</t>
  </si>
  <si>
    <r>
      <t>Elocal</t>
    </r>
    <r>
      <rPr>
        <sz val="8"/>
        <rFont val="Verdana"/>
        <family val="2"/>
      </rPr>
      <t>runoff, façade</t>
    </r>
    <r>
      <rPr>
        <sz val="10"/>
        <rFont val="Verdana"/>
        <family val="2"/>
      </rPr>
      <t xml:space="preserve"> </t>
    </r>
  </si>
  <si>
    <t>City</t>
  </si>
  <si>
    <t>Countryside</t>
  </si>
  <si>
    <t>Local concentration at the end of the day of active ingredient in soil (distant to treated surface) resulting from application due to spray drift (tier 1)</t>
  </si>
  <si>
    <t>Local concentration at the end of the day of active ingredient in soil (distant to treated surface) resulting from application due to spray drift (tier 2)</t>
  </si>
  <si>
    <t>Local concentration at the end of the day of active substance in soil (adjacent to treated surface) resulting from application due to runoff</t>
  </si>
  <si>
    <r>
      <t>kg.kg</t>
    </r>
    <r>
      <rPr>
        <sz val="8"/>
        <rFont val="Verdana"/>
        <family val="2"/>
      </rPr>
      <t>wwt</t>
    </r>
    <r>
      <rPr>
        <vertAlign val="superscript"/>
        <sz val="10"/>
        <rFont val="Verdana"/>
        <family val="2"/>
      </rPr>
      <t>-1</t>
    </r>
  </si>
  <si>
    <r>
      <t>Clocal</t>
    </r>
    <r>
      <rPr>
        <sz val="8"/>
        <rFont val="Verdana"/>
        <family val="2"/>
      </rPr>
      <t>soil, spray_drift_tier 1</t>
    </r>
  </si>
  <si>
    <r>
      <t>Clocal</t>
    </r>
    <r>
      <rPr>
        <sz val="8"/>
        <rFont val="Verdana"/>
        <family val="2"/>
      </rPr>
      <t>soil, spray_drift_tier 2</t>
    </r>
  </si>
  <si>
    <r>
      <t>Clocal</t>
    </r>
    <r>
      <rPr>
        <sz val="8"/>
        <rFont val="Verdana"/>
        <family val="2"/>
      </rPr>
      <t>soil, runoff</t>
    </r>
  </si>
  <si>
    <r>
      <t>Clocal</t>
    </r>
    <r>
      <rPr>
        <sz val="8"/>
        <rFont val="Verdana"/>
        <family val="2"/>
      </rPr>
      <t>soil, total, tier 1</t>
    </r>
  </si>
  <si>
    <t>Total concentration in local soil at the end of the day of application due to spray drift and runoff (tier 1)</t>
  </si>
  <si>
    <t>Total concentration in local soil at the end of the day of application due to spray drift and runoff (tier 2)</t>
  </si>
  <si>
    <r>
      <t>Clocal</t>
    </r>
    <r>
      <rPr>
        <sz val="8"/>
        <rFont val="Verdana"/>
        <family val="2"/>
      </rPr>
      <t>soil, total, tier 2</t>
    </r>
  </si>
  <si>
    <r>
      <rPr>
        <b/>
        <sz val="10"/>
        <rFont val="Verdana"/>
        <family val="2"/>
      </rPr>
      <t>Clocal</t>
    </r>
    <r>
      <rPr>
        <b/>
        <sz val="8"/>
        <rFont val="Verdana"/>
        <family val="2"/>
      </rPr>
      <t>soil_runoff</t>
    </r>
    <r>
      <rPr>
        <sz val="10"/>
        <rFont val="Verdana"/>
        <family val="2"/>
      </rPr>
      <t xml:space="preserve"> = Elocal</t>
    </r>
    <r>
      <rPr>
        <sz val="8"/>
        <rFont val="Verdana"/>
        <family val="2"/>
      </rPr>
      <t xml:space="preserve">runoff, façade </t>
    </r>
    <r>
      <rPr>
        <sz val="10"/>
        <rFont val="Verdana"/>
        <family val="2"/>
      </rPr>
      <t>/ (V</t>
    </r>
    <r>
      <rPr>
        <sz val="8"/>
        <rFont val="Verdana"/>
        <family val="2"/>
      </rPr>
      <t>soil, runoff</t>
    </r>
    <r>
      <rPr>
        <sz val="10"/>
        <rFont val="Verdana"/>
        <family val="2"/>
      </rPr>
      <t xml:space="preserve"> * RHO</t>
    </r>
    <r>
      <rPr>
        <sz val="8"/>
        <rFont val="Verdana"/>
        <family val="2"/>
      </rPr>
      <t>soil</t>
    </r>
    <r>
      <rPr>
        <sz val="10"/>
        <rFont val="Verdana"/>
        <family val="2"/>
      </rPr>
      <t>)</t>
    </r>
  </si>
  <si>
    <r>
      <rPr>
        <b/>
        <sz val="10"/>
        <rFont val="Verdana"/>
        <family val="2"/>
      </rPr>
      <t>Clocal</t>
    </r>
    <r>
      <rPr>
        <b/>
        <sz val="8"/>
        <rFont val="Verdana"/>
        <family val="2"/>
      </rPr>
      <t>soil, total, tier 1</t>
    </r>
    <r>
      <rPr>
        <sz val="10"/>
        <rFont val="Verdana"/>
        <family val="2"/>
      </rPr>
      <t xml:space="preserve"> = Clocal</t>
    </r>
    <r>
      <rPr>
        <sz val="8"/>
        <rFont val="Verdana"/>
        <family val="2"/>
      </rPr>
      <t>soil, spray_drift_tier 1</t>
    </r>
    <r>
      <rPr>
        <sz val="10"/>
        <rFont val="Verdana"/>
        <family val="2"/>
      </rPr>
      <t xml:space="preserve"> + Clocal</t>
    </r>
    <r>
      <rPr>
        <sz val="8"/>
        <rFont val="Verdana"/>
        <family val="2"/>
      </rPr>
      <t>soil_runoff</t>
    </r>
  </si>
  <si>
    <r>
      <rPr>
        <b/>
        <sz val="10"/>
        <rFont val="Verdana"/>
        <family val="2"/>
      </rPr>
      <t>Clocal</t>
    </r>
    <r>
      <rPr>
        <b/>
        <sz val="8"/>
        <rFont val="Verdana"/>
        <family val="2"/>
      </rPr>
      <t>soil, total, tier 2</t>
    </r>
    <r>
      <rPr>
        <sz val="10"/>
        <rFont val="Verdana"/>
        <family val="2"/>
      </rPr>
      <t xml:space="preserve"> = Clocal</t>
    </r>
    <r>
      <rPr>
        <sz val="8"/>
        <rFont val="Verdana"/>
        <family val="2"/>
      </rPr>
      <t>soil, spray_drift_tier 2</t>
    </r>
    <r>
      <rPr>
        <sz val="10"/>
        <rFont val="Verdana"/>
        <family val="2"/>
      </rPr>
      <t xml:space="preserve"> </t>
    </r>
  </si>
  <si>
    <t>Fraction of product lost during application due to dripping</t>
  </si>
  <si>
    <r>
      <t>F</t>
    </r>
    <r>
      <rPr>
        <sz val="8"/>
        <color theme="1"/>
        <rFont val="Verdana"/>
        <family val="2"/>
      </rPr>
      <t>dripping</t>
    </r>
  </si>
  <si>
    <t>Fdripping</t>
  </si>
  <si>
    <t>Select professionals or amateurs</t>
  </si>
  <si>
    <t>Professionals</t>
  </si>
  <si>
    <t>Amateurs</t>
  </si>
  <si>
    <t>ESD PT 10 Table 7, p.19</t>
  </si>
  <si>
    <t>P</t>
  </si>
  <si>
    <t>Pick list: ESD PT 10, Table 7</t>
  </si>
  <si>
    <t>Soil volume adjacent to surface treated</t>
  </si>
  <si>
    <r>
      <t>V</t>
    </r>
    <r>
      <rPr>
        <sz val="8"/>
        <color theme="1"/>
        <rFont val="Verdana"/>
        <family val="2"/>
      </rPr>
      <t>soil</t>
    </r>
  </si>
  <si>
    <t>Local emission of active substance during application</t>
  </si>
  <si>
    <r>
      <t>Elocal</t>
    </r>
    <r>
      <rPr>
        <sz val="8"/>
        <rFont val="Verdana"/>
        <family val="2"/>
      </rPr>
      <t>drip,roll,façade</t>
    </r>
    <r>
      <rPr>
        <sz val="10"/>
        <rFont val="Verdana"/>
        <family val="2"/>
      </rPr>
      <t xml:space="preserve"> </t>
    </r>
  </si>
  <si>
    <t xml:space="preserve">Local emission of active substance during application (roller) to storm water </t>
  </si>
  <si>
    <r>
      <t>Elocal</t>
    </r>
    <r>
      <rPr>
        <sz val="8"/>
        <rFont val="Verdana"/>
        <family val="2"/>
      </rPr>
      <t>roll, façade, water</t>
    </r>
  </si>
  <si>
    <r>
      <t>Clocal</t>
    </r>
    <r>
      <rPr>
        <sz val="8"/>
        <rFont val="Verdana"/>
        <family val="2"/>
      </rPr>
      <t>roll,façade,soil</t>
    </r>
  </si>
  <si>
    <r>
      <rPr>
        <b/>
        <sz val="10"/>
        <rFont val="Verdana"/>
        <family val="2"/>
      </rPr>
      <t>Clocal</t>
    </r>
    <r>
      <rPr>
        <b/>
        <sz val="8"/>
        <rFont val="Verdana"/>
        <family val="2"/>
      </rPr>
      <t xml:space="preserve">roll,façade,soil </t>
    </r>
    <r>
      <rPr>
        <sz val="10"/>
        <rFont val="Verdana"/>
        <family val="2"/>
      </rPr>
      <t>= Elocal</t>
    </r>
    <r>
      <rPr>
        <sz val="8"/>
        <rFont val="Verdana"/>
        <family val="2"/>
      </rPr>
      <t xml:space="preserve">drip,roll,façade </t>
    </r>
    <r>
      <rPr>
        <sz val="10"/>
        <rFont val="Verdana"/>
        <family val="2"/>
      </rPr>
      <t>/ (V</t>
    </r>
    <r>
      <rPr>
        <sz val="8"/>
        <rFont val="Verdana"/>
        <family val="2"/>
      </rPr>
      <t>soil</t>
    </r>
    <r>
      <rPr>
        <sz val="10"/>
        <rFont val="Verdana"/>
        <family val="2"/>
      </rPr>
      <t xml:space="preserve"> * RHO</t>
    </r>
    <r>
      <rPr>
        <sz val="8"/>
        <rFont val="Verdana"/>
        <family val="2"/>
      </rPr>
      <t>soil</t>
    </r>
    <r>
      <rPr>
        <sz val="10"/>
        <rFont val="Verdana"/>
        <family val="2"/>
      </rPr>
      <t>)</t>
    </r>
  </si>
  <si>
    <t>2. Select the type of users: Professionals or Amateurs: the value for Fdripping is automatically filled in.</t>
  </si>
  <si>
    <t>3. The values in the Output table will be automatically calculated.</t>
  </si>
  <si>
    <r>
      <t>1. Insert the values for Q</t>
    </r>
    <r>
      <rPr>
        <sz val="8"/>
        <rFont val="Verdana"/>
        <family val="2"/>
      </rPr>
      <t>application,product</t>
    </r>
    <r>
      <rPr>
        <sz val="10"/>
        <rFont val="Verdana"/>
        <family val="2"/>
      </rPr>
      <t>, F</t>
    </r>
    <r>
      <rPr>
        <sz val="8"/>
        <rFont val="Verdana"/>
        <family val="2"/>
      </rPr>
      <t>ai</t>
    </r>
    <r>
      <rPr>
        <sz val="10"/>
        <rFont val="Verdana"/>
        <family val="2"/>
      </rPr>
      <t>, RHO</t>
    </r>
    <r>
      <rPr>
        <sz val="8"/>
        <rFont val="Verdana"/>
        <family val="2"/>
      </rPr>
      <t>product</t>
    </r>
    <r>
      <rPr>
        <sz val="10"/>
        <rFont val="Verdana"/>
        <family val="2"/>
      </rPr>
      <t xml:space="preserve"> in the Input table.</t>
    </r>
  </si>
  <si>
    <t>2. The values in the Output table will be automatically calculated.</t>
  </si>
  <si>
    <t>Number of houses in a city</t>
  </si>
  <si>
    <t>Market share = 1.0, unless sufficiently substantiated with tonnage data</t>
  </si>
  <si>
    <r>
      <t>f</t>
    </r>
    <r>
      <rPr>
        <sz val="8"/>
        <color theme="1"/>
        <rFont val="Verdana"/>
        <family val="2"/>
      </rPr>
      <t>house</t>
    </r>
  </si>
  <si>
    <r>
      <t>Q</t>
    </r>
    <r>
      <rPr>
        <sz val="8"/>
        <color theme="1"/>
        <rFont val="Verdana"/>
        <family val="2"/>
      </rPr>
      <t xml:space="preserve">leach,time 1 </t>
    </r>
  </si>
  <si>
    <r>
      <t>kg.m</t>
    </r>
    <r>
      <rPr>
        <vertAlign val="superscript"/>
        <sz val="10"/>
        <color theme="1"/>
        <rFont val="Verdana"/>
        <family val="2"/>
      </rPr>
      <t>-2</t>
    </r>
  </si>
  <si>
    <r>
      <t>Q</t>
    </r>
    <r>
      <rPr>
        <sz val="8"/>
        <color theme="1"/>
        <rFont val="Verdana"/>
        <family val="2"/>
      </rPr>
      <t xml:space="preserve">leach,time 2 </t>
    </r>
  </si>
  <si>
    <t>Area of the treated surface per house</t>
  </si>
  <si>
    <t>AREA</t>
  </si>
  <si>
    <t>Number of houses in a city recently treated</t>
  </si>
  <si>
    <t>Number of houses in a city treated more than 30 days ago</t>
  </si>
  <si>
    <t>Daily emission to sewer</t>
  </si>
  <si>
    <r>
      <t>N</t>
    </r>
    <r>
      <rPr>
        <sz val="8"/>
        <rFont val="Verdana"/>
        <family val="2"/>
      </rPr>
      <t>house,initial</t>
    </r>
  </si>
  <si>
    <r>
      <t>AREA</t>
    </r>
    <r>
      <rPr>
        <sz val="8"/>
        <color theme="1"/>
        <rFont val="Verdana"/>
        <family val="2"/>
      </rPr>
      <t>façade</t>
    </r>
    <r>
      <rPr>
        <sz val="10"/>
        <color theme="1"/>
        <rFont val="Verdana"/>
        <family val="2"/>
      </rPr>
      <t xml:space="preserve"> </t>
    </r>
  </si>
  <si>
    <t xml:space="preserve">Duration of the initial assessment period </t>
  </si>
  <si>
    <t>TIME 1</t>
  </si>
  <si>
    <t>Duration of the long-term assessment period</t>
  </si>
  <si>
    <t>TIME 2</t>
  </si>
  <si>
    <t>Cumulative quantity of an active substance, leached over the initial assessment period</t>
  </si>
  <si>
    <t>Cumulative quantity of an active substance, leached over a longer assessment period</t>
  </si>
  <si>
    <t>Soil volume</t>
  </si>
  <si>
    <t>RHOsoil</t>
  </si>
  <si>
    <t>Concentration in local soil at the end of the initial assessment period</t>
  </si>
  <si>
    <r>
      <t>Clocal</t>
    </r>
    <r>
      <rPr>
        <sz val="8"/>
        <rFont val="Verdana"/>
        <family val="2"/>
      </rPr>
      <t>water, leach, time1</t>
    </r>
  </si>
  <si>
    <r>
      <t>Clocal</t>
    </r>
    <r>
      <rPr>
        <sz val="8"/>
        <rFont val="Verdana"/>
        <family val="2"/>
      </rPr>
      <t>water, leach, time2</t>
    </r>
  </si>
  <si>
    <r>
      <t>Clocal</t>
    </r>
    <r>
      <rPr>
        <sz val="8"/>
        <rFont val="Verdana"/>
        <family val="2"/>
      </rPr>
      <t>soil, leach, time1</t>
    </r>
  </si>
  <si>
    <r>
      <t>Clocal</t>
    </r>
    <r>
      <rPr>
        <sz val="8"/>
        <rFont val="Verdana"/>
        <family val="2"/>
      </rPr>
      <t>soil, leach, time2</t>
    </r>
  </si>
  <si>
    <r>
      <rPr>
        <b/>
        <sz val="10"/>
        <rFont val="Verdana"/>
        <family val="2"/>
      </rPr>
      <t>Clocal</t>
    </r>
    <r>
      <rPr>
        <b/>
        <sz val="8"/>
        <rFont val="Verdana"/>
        <family val="2"/>
      </rPr>
      <t xml:space="preserve">soil, leach, time1 </t>
    </r>
    <r>
      <rPr>
        <sz val="10"/>
        <rFont val="Verdana"/>
        <family val="2"/>
      </rPr>
      <t>= Q</t>
    </r>
    <r>
      <rPr>
        <sz val="8"/>
        <rFont val="Verdana"/>
        <family val="2"/>
      </rPr>
      <t>leach, time 1</t>
    </r>
    <r>
      <rPr>
        <sz val="10"/>
        <rFont val="Verdana"/>
        <family val="2"/>
      </rPr>
      <t xml:space="preserve"> * AREA</t>
    </r>
    <r>
      <rPr>
        <sz val="8"/>
        <rFont val="Verdana"/>
        <family val="2"/>
      </rPr>
      <t>façade</t>
    </r>
    <r>
      <rPr>
        <sz val="10"/>
        <rFont val="Verdana"/>
        <family val="2"/>
      </rPr>
      <t xml:space="preserve"> / (V</t>
    </r>
    <r>
      <rPr>
        <sz val="8"/>
        <rFont val="Verdana"/>
        <family val="2"/>
      </rPr>
      <t>soil</t>
    </r>
    <r>
      <rPr>
        <sz val="10"/>
        <rFont val="Verdana"/>
        <family val="2"/>
      </rPr>
      <t xml:space="preserve"> * RHO</t>
    </r>
    <r>
      <rPr>
        <sz val="8"/>
        <rFont val="Verdana"/>
        <family val="2"/>
      </rPr>
      <t>soil</t>
    </r>
    <r>
      <rPr>
        <sz val="10"/>
        <rFont val="Verdana"/>
        <family val="2"/>
      </rPr>
      <t>)</t>
    </r>
  </si>
  <si>
    <r>
      <rPr>
        <b/>
        <sz val="10"/>
        <rFont val="Verdana"/>
        <family val="2"/>
      </rPr>
      <t>Clocal</t>
    </r>
    <r>
      <rPr>
        <b/>
        <sz val="8"/>
        <rFont val="Verdana"/>
        <family val="2"/>
      </rPr>
      <t xml:space="preserve">soil, leach, time2 </t>
    </r>
    <r>
      <rPr>
        <sz val="10"/>
        <rFont val="Verdana"/>
        <family val="2"/>
      </rPr>
      <t>= Q</t>
    </r>
    <r>
      <rPr>
        <sz val="8"/>
        <rFont val="Verdana"/>
        <family val="2"/>
      </rPr>
      <t>leach, time 2</t>
    </r>
    <r>
      <rPr>
        <sz val="10"/>
        <rFont val="Verdana"/>
        <family val="2"/>
      </rPr>
      <t xml:space="preserve"> * AREA</t>
    </r>
    <r>
      <rPr>
        <sz val="8"/>
        <rFont val="Verdana"/>
        <family val="2"/>
      </rPr>
      <t>façade</t>
    </r>
    <r>
      <rPr>
        <sz val="10"/>
        <rFont val="Verdana"/>
        <family val="2"/>
      </rPr>
      <t xml:space="preserve"> / (V</t>
    </r>
    <r>
      <rPr>
        <sz val="8"/>
        <rFont val="Verdana"/>
        <family val="2"/>
      </rPr>
      <t>soil</t>
    </r>
    <r>
      <rPr>
        <sz val="10"/>
        <rFont val="Verdana"/>
        <family val="2"/>
      </rPr>
      <t xml:space="preserve"> * RHO</t>
    </r>
    <r>
      <rPr>
        <sz val="8"/>
        <rFont val="Verdana"/>
        <family val="2"/>
      </rPr>
      <t>soil</t>
    </r>
    <r>
      <rPr>
        <sz val="10"/>
        <rFont val="Verdana"/>
        <family val="2"/>
      </rPr>
      <t>)</t>
    </r>
  </si>
  <si>
    <r>
      <t>V</t>
    </r>
    <r>
      <rPr>
        <sz val="8"/>
        <color theme="1"/>
        <rFont val="Verdana"/>
        <family val="2"/>
      </rPr>
      <t>water</t>
    </r>
  </si>
  <si>
    <r>
      <t>AREA</t>
    </r>
    <r>
      <rPr>
        <sz val="8"/>
        <color theme="1"/>
        <rFont val="Verdana"/>
        <family val="2"/>
      </rPr>
      <t>bridge</t>
    </r>
    <r>
      <rPr>
        <sz val="10"/>
        <color theme="1"/>
        <rFont val="Verdana"/>
        <family val="2"/>
      </rPr>
      <t xml:space="preserve"> </t>
    </r>
  </si>
  <si>
    <t>Concentration in local water at the end of the initial assessment period</t>
  </si>
  <si>
    <t>Concentration in local water at the end of a longer assessment period</t>
  </si>
  <si>
    <r>
      <rPr>
        <b/>
        <sz val="10"/>
        <rFont val="Verdana"/>
        <family val="2"/>
      </rPr>
      <t>Clocal</t>
    </r>
    <r>
      <rPr>
        <b/>
        <sz val="8"/>
        <rFont val="Verdana"/>
        <family val="2"/>
      </rPr>
      <t xml:space="preserve">water, leach, time2 </t>
    </r>
    <r>
      <rPr>
        <sz val="10"/>
        <rFont val="Verdana"/>
        <family val="2"/>
      </rPr>
      <t>= Q</t>
    </r>
    <r>
      <rPr>
        <sz val="8"/>
        <rFont val="Verdana"/>
        <family val="2"/>
      </rPr>
      <t>leach, time 2</t>
    </r>
    <r>
      <rPr>
        <sz val="10"/>
        <rFont val="Verdana"/>
        <family val="2"/>
      </rPr>
      <t xml:space="preserve"> * AREA</t>
    </r>
    <r>
      <rPr>
        <sz val="8"/>
        <rFont val="Verdana"/>
        <family val="2"/>
      </rPr>
      <t>bridge</t>
    </r>
    <r>
      <rPr>
        <sz val="10"/>
        <rFont val="Verdana"/>
        <family val="2"/>
      </rPr>
      <t xml:space="preserve"> / V</t>
    </r>
    <r>
      <rPr>
        <sz val="8"/>
        <rFont val="Verdana"/>
        <family val="2"/>
      </rPr>
      <t>water</t>
    </r>
    <r>
      <rPr>
        <sz val="10"/>
        <rFont val="Verdana"/>
        <family val="2"/>
      </rPr>
      <t xml:space="preserve"> </t>
    </r>
  </si>
  <si>
    <t>2. The daily emission to the sewer will be automatically calculated.</t>
  </si>
  <si>
    <r>
      <t>1. Insert the values for Q</t>
    </r>
    <r>
      <rPr>
        <sz val="8"/>
        <rFont val="Verdana"/>
        <family val="2"/>
      </rPr>
      <t>leach,time 1</t>
    </r>
    <r>
      <rPr>
        <sz val="10"/>
        <rFont val="Verdana"/>
        <family val="2"/>
      </rPr>
      <t xml:space="preserve"> and Q</t>
    </r>
    <r>
      <rPr>
        <sz val="8"/>
        <rFont val="Verdana"/>
        <family val="2"/>
      </rPr>
      <t>leach,time 2</t>
    </r>
    <r>
      <rPr>
        <sz val="10"/>
        <rFont val="Verdana"/>
        <family val="2"/>
      </rPr>
      <t xml:space="preserve"> in the Input table.</t>
    </r>
  </si>
  <si>
    <t xml:space="preserve">Quantity of coated paper produced per day </t>
  </si>
  <si>
    <r>
      <t>t.d</t>
    </r>
    <r>
      <rPr>
        <vertAlign val="superscript"/>
        <sz val="10"/>
        <color theme="1"/>
        <rFont val="Verdana"/>
        <family val="2"/>
      </rPr>
      <t>-1</t>
    </r>
  </si>
  <si>
    <t>Quantity of active substance applied per tonne of paper for each application step</t>
  </si>
  <si>
    <r>
      <t>Q</t>
    </r>
    <r>
      <rPr>
        <sz val="8"/>
        <color theme="1"/>
        <rFont val="Verdana"/>
        <family val="2"/>
      </rPr>
      <t>paper</t>
    </r>
  </si>
  <si>
    <r>
      <t>Q</t>
    </r>
    <r>
      <rPr>
        <sz val="8"/>
        <color theme="1"/>
        <rFont val="Verdana"/>
        <family val="2"/>
      </rPr>
      <t>active</t>
    </r>
  </si>
  <si>
    <r>
      <t>kg.t</t>
    </r>
    <r>
      <rPr>
        <vertAlign val="superscript"/>
        <sz val="10"/>
        <color theme="1"/>
        <rFont val="Verdana"/>
        <family val="2"/>
      </rPr>
      <t>-1</t>
    </r>
  </si>
  <si>
    <t xml:space="preserve">Evaporation rate </t>
  </si>
  <si>
    <r>
      <t>F</t>
    </r>
    <r>
      <rPr>
        <sz val="8"/>
        <color theme="1"/>
        <rFont val="Verdana"/>
        <family val="2"/>
      </rPr>
      <t>evap</t>
    </r>
  </si>
  <si>
    <t>Decomposition rate during drying</t>
  </si>
  <si>
    <r>
      <t>F</t>
    </r>
    <r>
      <rPr>
        <sz val="8"/>
        <color theme="1"/>
        <rFont val="Verdana"/>
        <family val="2"/>
      </rPr>
      <t>decomp</t>
    </r>
  </si>
  <si>
    <r>
      <t>Elocal</t>
    </r>
    <r>
      <rPr>
        <sz val="8"/>
        <color theme="1"/>
        <rFont val="Verdana"/>
        <family val="2"/>
      </rPr>
      <t>air</t>
    </r>
  </si>
  <si>
    <r>
      <t>Elocal</t>
    </r>
    <r>
      <rPr>
        <b/>
        <sz val="8"/>
        <color theme="1"/>
        <rFont val="Verdana"/>
        <family val="2"/>
      </rPr>
      <t>air</t>
    </r>
    <r>
      <rPr>
        <b/>
        <sz val="10"/>
        <color theme="1"/>
        <rFont val="Verdana"/>
        <family val="2"/>
      </rPr>
      <t xml:space="preserve"> </t>
    </r>
    <r>
      <rPr>
        <sz val="10"/>
        <color theme="1"/>
        <rFont val="Verdana"/>
        <family val="2"/>
      </rPr>
      <t>= Q</t>
    </r>
    <r>
      <rPr>
        <sz val="8"/>
        <color theme="1"/>
        <rFont val="Verdana"/>
        <family val="2"/>
      </rPr>
      <t>paper</t>
    </r>
    <r>
      <rPr>
        <sz val="10"/>
        <color theme="1"/>
        <rFont val="Verdana"/>
        <family val="2"/>
      </rPr>
      <t xml:space="preserve"> * Q</t>
    </r>
    <r>
      <rPr>
        <sz val="8"/>
        <color theme="1"/>
        <rFont val="Verdana"/>
        <family val="2"/>
      </rPr>
      <t>active</t>
    </r>
    <r>
      <rPr>
        <sz val="10"/>
        <color theme="1"/>
        <rFont val="Verdana"/>
        <family val="2"/>
      </rPr>
      <t xml:space="preserve"> * F</t>
    </r>
    <r>
      <rPr>
        <sz val="8"/>
        <color theme="1"/>
        <rFont val="Verdana"/>
        <family val="2"/>
      </rPr>
      <t>evap</t>
    </r>
    <r>
      <rPr>
        <sz val="10"/>
        <color theme="1"/>
        <rFont val="Verdana"/>
        <family val="2"/>
      </rPr>
      <t xml:space="preserve"> * (1-F</t>
    </r>
    <r>
      <rPr>
        <sz val="8"/>
        <color theme="1"/>
        <rFont val="Verdana"/>
        <family val="2"/>
      </rPr>
      <t>decomp</t>
    </r>
    <r>
      <rPr>
        <sz val="10"/>
        <color theme="1"/>
        <rFont val="Verdana"/>
        <family val="2"/>
      </rPr>
      <t>)</t>
    </r>
  </si>
  <si>
    <t>Select type of paper</t>
  </si>
  <si>
    <t>Printing and writing</t>
  </si>
  <si>
    <t>Tissue</t>
  </si>
  <si>
    <t>Qpaper (t/d)</t>
  </si>
  <si>
    <t>Qadditive (kg/t)</t>
  </si>
  <si>
    <t>Fclosure</t>
  </si>
  <si>
    <t>Quantity of additives applied per tonne of paper</t>
  </si>
  <si>
    <r>
      <t>Q</t>
    </r>
    <r>
      <rPr>
        <sz val="8"/>
        <color theme="1"/>
        <rFont val="Verdana"/>
        <family val="2"/>
      </rPr>
      <t>additive</t>
    </r>
  </si>
  <si>
    <t>Fraction of additives with active substance (market share)</t>
  </si>
  <si>
    <r>
      <t>F</t>
    </r>
    <r>
      <rPr>
        <sz val="8"/>
        <color theme="1"/>
        <rFont val="Verdana"/>
        <family val="2"/>
      </rPr>
      <t>a.i.</t>
    </r>
  </si>
  <si>
    <t>Concentration of active substance in the additive</t>
  </si>
  <si>
    <r>
      <t>C</t>
    </r>
    <r>
      <rPr>
        <sz val="8"/>
        <color theme="1"/>
        <rFont val="Verdana"/>
        <family val="2"/>
      </rPr>
      <t>a.i.</t>
    </r>
  </si>
  <si>
    <r>
      <t>mg.kg</t>
    </r>
    <r>
      <rPr>
        <vertAlign val="superscript"/>
        <sz val="10"/>
        <color theme="1"/>
        <rFont val="Verdana"/>
        <family val="2"/>
      </rPr>
      <t>-1</t>
    </r>
  </si>
  <si>
    <t>Degree of closure to the water system</t>
  </si>
  <si>
    <r>
      <t>F</t>
    </r>
    <r>
      <rPr>
        <sz val="8"/>
        <color theme="1"/>
        <rFont val="Verdana"/>
        <family val="2"/>
      </rPr>
      <t>closure</t>
    </r>
  </si>
  <si>
    <t>Fraction of broke recycling, dry-end operations only</t>
  </si>
  <si>
    <r>
      <t>F</t>
    </r>
    <r>
      <rPr>
        <sz val="8"/>
        <color theme="1"/>
        <rFont val="Verdana"/>
        <family val="2"/>
      </rPr>
      <t>broke</t>
    </r>
  </si>
  <si>
    <t>Fixation rate</t>
  </si>
  <si>
    <r>
      <t>F</t>
    </r>
    <r>
      <rPr>
        <sz val="8"/>
        <color theme="1"/>
        <rFont val="Verdana"/>
        <family val="2"/>
      </rPr>
      <t>fix</t>
    </r>
  </si>
  <si>
    <t>Local emission of active substance to waste water</t>
  </si>
  <si>
    <t>In-can preservatives solely used for dry-end operations</t>
  </si>
  <si>
    <t>Yes/No?</t>
  </si>
  <si>
    <t>Yes</t>
  </si>
  <si>
    <t>No</t>
  </si>
  <si>
    <r>
      <rPr>
        <u/>
        <sz val="10"/>
        <color theme="1"/>
        <rFont val="Verdana"/>
        <family val="2"/>
      </rPr>
      <t>For in-can preservatives solely used for dry-end operations:</t>
    </r>
    <r>
      <rPr>
        <sz val="10"/>
        <color theme="1"/>
        <rFont val="Verdana"/>
        <family val="2"/>
      </rPr>
      <t xml:space="preserve"> </t>
    </r>
    <r>
      <rPr>
        <b/>
        <sz val="10"/>
        <color theme="1"/>
        <rFont val="Verdana"/>
        <family val="2"/>
      </rPr>
      <t>Elocal</t>
    </r>
    <r>
      <rPr>
        <b/>
        <sz val="8"/>
        <color theme="1"/>
        <rFont val="Verdana"/>
        <family val="2"/>
      </rPr>
      <t>water</t>
    </r>
    <r>
      <rPr>
        <sz val="10"/>
        <color theme="1"/>
        <rFont val="Verdana"/>
        <family val="2"/>
      </rPr>
      <t xml:space="preserve"> = Q</t>
    </r>
    <r>
      <rPr>
        <sz val="8"/>
        <color theme="1"/>
        <rFont val="Verdana"/>
        <family val="2"/>
      </rPr>
      <t>paper</t>
    </r>
    <r>
      <rPr>
        <sz val="10"/>
        <color theme="1"/>
        <rFont val="Verdana"/>
        <family val="2"/>
      </rPr>
      <t xml:space="preserve"> * Q</t>
    </r>
    <r>
      <rPr>
        <sz val="8"/>
        <color theme="1"/>
        <rFont val="Verdana"/>
        <family val="2"/>
      </rPr>
      <t>additive</t>
    </r>
    <r>
      <rPr>
        <sz val="10"/>
        <color theme="1"/>
        <rFont val="Verdana"/>
        <family val="2"/>
      </rPr>
      <t xml:space="preserve"> * C</t>
    </r>
    <r>
      <rPr>
        <sz val="8"/>
        <color theme="1"/>
        <rFont val="Verdana"/>
        <family val="2"/>
      </rPr>
      <t>ai</t>
    </r>
    <r>
      <rPr>
        <sz val="10"/>
        <color theme="1"/>
        <rFont val="Verdana"/>
        <family val="2"/>
      </rPr>
      <t xml:space="preserve"> * F</t>
    </r>
    <r>
      <rPr>
        <sz val="8"/>
        <color theme="1"/>
        <rFont val="Verdana"/>
        <family val="2"/>
      </rPr>
      <t>ai</t>
    </r>
    <r>
      <rPr>
        <sz val="10"/>
        <color theme="1"/>
        <rFont val="Verdana"/>
        <family val="2"/>
      </rPr>
      <t xml:space="preserve"> * F</t>
    </r>
    <r>
      <rPr>
        <sz val="8"/>
        <color theme="1"/>
        <rFont val="Verdana"/>
        <family val="2"/>
      </rPr>
      <t>broke</t>
    </r>
    <r>
      <rPr>
        <sz val="10"/>
        <color theme="1"/>
        <rFont val="Verdana"/>
        <family val="2"/>
      </rPr>
      <t xml:space="preserve"> * (1-F</t>
    </r>
    <r>
      <rPr>
        <sz val="8"/>
        <color theme="1"/>
        <rFont val="Verdana"/>
        <family val="2"/>
      </rPr>
      <t>fix</t>
    </r>
    <r>
      <rPr>
        <sz val="10"/>
        <color theme="1"/>
        <rFont val="Verdana"/>
        <family val="2"/>
      </rPr>
      <t>) * (1-F</t>
    </r>
    <r>
      <rPr>
        <sz val="8"/>
        <color theme="1"/>
        <rFont val="Verdana"/>
        <family val="2"/>
      </rPr>
      <t>closure</t>
    </r>
    <r>
      <rPr>
        <sz val="10"/>
        <color theme="1"/>
        <rFont val="Verdana"/>
        <family val="2"/>
      </rPr>
      <t>) * 10</t>
    </r>
    <r>
      <rPr>
        <vertAlign val="superscript"/>
        <sz val="10"/>
        <color theme="1"/>
        <rFont val="Verdana"/>
        <family val="2"/>
      </rPr>
      <t>-6</t>
    </r>
    <r>
      <rPr>
        <sz val="10"/>
        <color theme="1"/>
        <rFont val="Verdana"/>
        <family val="2"/>
      </rPr>
      <t xml:space="preserve">
</t>
    </r>
    <r>
      <rPr>
        <u/>
        <sz val="10"/>
        <color theme="1"/>
        <rFont val="Verdana"/>
        <family val="2"/>
      </rPr>
      <t>For all other cases:</t>
    </r>
    <r>
      <rPr>
        <sz val="10"/>
        <color theme="1"/>
        <rFont val="Verdana"/>
        <family val="2"/>
      </rPr>
      <t xml:space="preserve"> </t>
    </r>
    <r>
      <rPr>
        <b/>
        <sz val="10"/>
        <color theme="1"/>
        <rFont val="Verdana"/>
        <family val="2"/>
      </rPr>
      <t>Elocal</t>
    </r>
    <r>
      <rPr>
        <b/>
        <sz val="8"/>
        <color theme="1"/>
        <rFont val="Verdana"/>
        <family val="2"/>
      </rPr>
      <t>water</t>
    </r>
    <r>
      <rPr>
        <sz val="10"/>
        <color theme="1"/>
        <rFont val="Verdana"/>
        <family val="2"/>
      </rPr>
      <t xml:space="preserve"> = Q</t>
    </r>
    <r>
      <rPr>
        <sz val="8"/>
        <color theme="1"/>
        <rFont val="Verdana"/>
        <family val="2"/>
      </rPr>
      <t>paper</t>
    </r>
    <r>
      <rPr>
        <sz val="10"/>
        <color theme="1"/>
        <rFont val="Verdana"/>
        <family val="2"/>
      </rPr>
      <t xml:space="preserve"> * Q</t>
    </r>
    <r>
      <rPr>
        <sz val="8"/>
        <color theme="1"/>
        <rFont val="Verdana"/>
        <family val="2"/>
      </rPr>
      <t>additive</t>
    </r>
    <r>
      <rPr>
        <sz val="10"/>
        <color theme="1"/>
        <rFont val="Verdana"/>
        <family val="2"/>
      </rPr>
      <t xml:space="preserve"> * C</t>
    </r>
    <r>
      <rPr>
        <sz val="8"/>
        <color theme="1"/>
        <rFont val="Verdana"/>
        <family val="2"/>
      </rPr>
      <t>ai</t>
    </r>
    <r>
      <rPr>
        <sz val="10"/>
        <color theme="1"/>
        <rFont val="Verdana"/>
        <family val="2"/>
      </rPr>
      <t xml:space="preserve"> * F</t>
    </r>
    <r>
      <rPr>
        <sz val="8"/>
        <color theme="1"/>
        <rFont val="Verdana"/>
        <family val="2"/>
      </rPr>
      <t>ai</t>
    </r>
    <r>
      <rPr>
        <sz val="10"/>
        <color theme="1"/>
        <rFont val="Verdana"/>
        <family val="2"/>
      </rPr>
      <t xml:space="preserve"> * (1-F</t>
    </r>
    <r>
      <rPr>
        <sz val="8"/>
        <color theme="1"/>
        <rFont val="Verdana"/>
        <family val="2"/>
      </rPr>
      <t>fix</t>
    </r>
    <r>
      <rPr>
        <sz val="10"/>
        <color theme="1"/>
        <rFont val="Verdana"/>
        <family val="2"/>
      </rPr>
      <t>) * (1-F</t>
    </r>
    <r>
      <rPr>
        <sz val="8"/>
        <color theme="1"/>
        <rFont val="Verdana"/>
        <family val="2"/>
      </rPr>
      <t>closure</t>
    </r>
    <r>
      <rPr>
        <sz val="10"/>
        <color theme="1"/>
        <rFont val="Verdana"/>
        <family val="2"/>
      </rPr>
      <t>) * 10</t>
    </r>
    <r>
      <rPr>
        <vertAlign val="superscript"/>
        <sz val="10"/>
        <color theme="1"/>
        <rFont val="Verdana"/>
        <family val="2"/>
      </rPr>
      <t>-6</t>
    </r>
  </si>
  <si>
    <t>Relevant tonnage in EU for this application</t>
  </si>
  <si>
    <t>Relevant tonnage in this region for this application</t>
  </si>
  <si>
    <t xml:space="preserve">Fraction of region </t>
  </si>
  <si>
    <t>Fraction of main source</t>
  </si>
  <si>
    <r>
      <t>F</t>
    </r>
    <r>
      <rPr>
        <sz val="8"/>
        <color theme="1"/>
        <rFont val="Verdana"/>
        <family val="2"/>
      </rPr>
      <t>recycling</t>
    </r>
  </si>
  <si>
    <t>Paper recycling rate</t>
  </si>
  <si>
    <t>Deinking yield</t>
  </si>
  <si>
    <r>
      <t>F</t>
    </r>
    <r>
      <rPr>
        <sz val="8"/>
        <color theme="1"/>
        <rFont val="Verdana"/>
        <family val="2"/>
      </rPr>
      <t>deinking</t>
    </r>
  </si>
  <si>
    <t>Fraction decomposed during deinking</t>
  </si>
  <si>
    <t xml:space="preserve">Fraction removed </t>
  </si>
  <si>
    <t>Select easy/poorly soluble</t>
  </si>
  <si>
    <t>Poorly soluble (&lt; 1000 mg/l)</t>
  </si>
  <si>
    <t>Fraction removed from waste water during preliminary on-site treatment</t>
  </si>
  <si>
    <r>
      <t>F</t>
    </r>
    <r>
      <rPr>
        <sz val="8"/>
        <color theme="1"/>
        <rFont val="Verdana"/>
        <family val="2"/>
      </rPr>
      <t>preliminary</t>
    </r>
  </si>
  <si>
    <r>
      <rPr>
        <b/>
        <sz val="10"/>
        <color theme="1"/>
        <rFont val="Verdana"/>
        <family val="2"/>
      </rPr>
      <t>TONNAGE</t>
    </r>
    <r>
      <rPr>
        <b/>
        <sz val="8"/>
        <color theme="1"/>
        <rFont val="Verdana"/>
        <family val="2"/>
      </rPr>
      <t>reg</t>
    </r>
    <r>
      <rPr>
        <b/>
        <sz val="10"/>
        <color theme="1"/>
        <rFont val="Verdana"/>
        <family val="2"/>
      </rPr>
      <t xml:space="preserve"> </t>
    </r>
    <r>
      <rPr>
        <sz val="10"/>
        <color theme="1"/>
        <rFont val="Verdana"/>
        <family val="2"/>
      </rPr>
      <t>= F</t>
    </r>
    <r>
      <rPr>
        <sz val="8"/>
        <color theme="1"/>
        <rFont val="Verdana"/>
        <family val="2"/>
      </rPr>
      <t>reg</t>
    </r>
    <r>
      <rPr>
        <sz val="10"/>
        <color theme="1"/>
        <rFont val="Verdana"/>
        <family val="2"/>
      </rPr>
      <t xml:space="preserve"> * TONNAGE</t>
    </r>
  </si>
  <si>
    <t>Number of working days</t>
  </si>
  <si>
    <r>
      <t>N</t>
    </r>
    <r>
      <rPr>
        <sz val="8"/>
        <color theme="1"/>
        <rFont val="Verdana"/>
        <family val="2"/>
      </rPr>
      <t>d</t>
    </r>
  </si>
  <si>
    <t>Total emission to sludge from paper recycling (excluding any biological sludge)</t>
  </si>
  <si>
    <r>
      <t>f</t>
    </r>
    <r>
      <rPr>
        <sz val="8"/>
        <color theme="1"/>
        <rFont val="Verdana"/>
        <family val="2"/>
      </rPr>
      <t>mainsource</t>
    </r>
  </si>
  <si>
    <r>
      <t>Elocal</t>
    </r>
    <r>
      <rPr>
        <b/>
        <sz val="8"/>
        <color theme="1"/>
        <rFont val="Verdana"/>
        <family val="2"/>
      </rPr>
      <t>water</t>
    </r>
    <r>
      <rPr>
        <b/>
        <sz val="10"/>
        <color theme="1"/>
        <rFont val="Verdana"/>
        <family val="2"/>
      </rPr>
      <t xml:space="preserve"> </t>
    </r>
    <r>
      <rPr>
        <sz val="10"/>
        <color theme="1"/>
        <rFont val="Verdana"/>
        <family val="2"/>
      </rPr>
      <t>= TONNAGE</t>
    </r>
    <r>
      <rPr>
        <sz val="8"/>
        <color theme="1"/>
        <rFont val="Verdana"/>
        <family val="2"/>
      </rPr>
      <t>reg</t>
    </r>
    <r>
      <rPr>
        <sz val="10"/>
        <color theme="1"/>
        <rFont val="Verdana"/>
        <family val="2"/>
      </rPr>
      <t xml:space="preserve"> * F</t>
    </r>
    <r>
      <rPr>
        <sz val="8"/>
        <color theme="1"/>
        <rFont val="Verdana"/>
        <family val="2"/>
      </rPr>
      <t>recycling</t>
    </r>
    <r>
      <rPr>
        <sz val="10"/>
        <color theme="1"/>
        <rFont val="Verdana"/>
        <family val="2"/>
      </rPr>
      <t xml:space="preserve"> * f</t>
    </r>
    <r>
      <rPr>
        <sz val="8"/>
        <color theme="1"/>
        <rFont val="Verdana"/>
        <family val="2"/>
      </rPr>
      <t>mainsource</t>
    </r>
    <r>
      <rPr>
        <sz val="10"/>
        <color theme="1"/>
        <rFont val="Verdana"/>
        <family val="2"/>
      </rPr>
      <t xml:space="preserve"> * F</t>
    </r>
    <r>
      <rPr>
        <sz val="8"/>
        <color theme="1"/>
        <rFont val="Verdana"/>
        <family val="2"/>
      </rPr>
      <t>deinking</t>
    </r>
    <r>
      <rPr>
        <sz val="10"/>
        <color theme="1"/>
        <rFont val="Verdana"/>
        <family val="2"/>
      </rPr>
      <t xml:space="preserve"> * (1-F</t>
    </r>
    <r>
      <rPr>
        <sz val="8"/>
        <color theme="1"/>
        <rFont val="Verdana"/>
        <family val="2"/>
      </rPr>
      <t>preliminary</t>
    </r>
    <r>
      <rPr>
        <sz val="10"/>
        <color theme="1"/>
        <rFont val="Verdana"/>
        <family val="2"/>
      </rPr>
      <t>) * (1-F</t>
    </r>
    <r>
      <rPr>
        <sz val="8"/>
        <color theme="1"/>
        <rFont val="Verdana"/>
        <family val="2"/>
      </rPr>
      <t>decomp</t>
    </r>
    <r>
      <rPr>
        <sz val="10"/>
        <color theme="1"/>
        <rFont val="Verdana"/>
        <family val="2"/>
      </rPr>
      <t>) * 1000/N</t>
    </r>
    <r>
      <rPr>
        <sz val="8"/>
        <color theme="1"/>
        <rFont val="Verdana"/>
        <family val="2"/>
      </rPr>
      <t>d</t>
    </r>
  </si>
  <si>
    <t>ESD PT 6 Table 4: Estimates for the emission factors</t>
  </si>
  <si>
    <t>MC 1b (dedicated equipment and (very) little cleaning operations)</t>
  </si>
  <si>
    <t>MC 1c (dedicated equipment and frequent cleaning operations)</t>
  </si>
  <si>
    <t>MC 3 (multi-purpose equipment)</t>
  </si>
  <si>
    <t>Note: main categories</t>
  </si>
  <si>
    <t xml:space="preserve">Select vapour pressure  </t>
  </si>
  <si>
    <t>AIR</t>
  </si>
  <si>
    <t>Estimates for MC 3 -multi-purpose equipment (main categories listed below, for information)</t>
  </si>
  <si>
    <t>WATER</t>
  </si>
  <si>
    <t>TONNAGEreg_ form</t>
  </si>
  <si>
    <t>&lt; 1000 tonnes/year</t>
  </si>
  <si>
    <t>SOIL</t>
  </si>
  <si>
    <t>Fsoil</t>
  </si>
  <si>
    <t>Emission estimation for the formulation process of the detergents and cleaning fluids (ESD § 3.1.4.1)</t>
  </si>
  <si>
    <r>
      <rPr>
        <b/>
        <sz val="10"/>
        <color theme="1"/>
        <rFont val="Verdana"/>
        <family val="2"/>
      </rPr>
      <t>TONNAGE</t>
    </r>
    <r>
      <rPr>
        <b/>
        <sz val="8"/>
        <color theme="1"/>
        <rFont val="Verdana"/>
        <family val="2"/>
      </rPr>
      <t>reg</t>
    </r>
    <r>
      <rPr>
        <b/>
        <sz val="10"/>
        <color theme="1"/>
        <rFont val="Verdana"/>
        <family val="2"/>
      </rPr>
      <t xml:space="preserve"> </t>
    </r>
    <r>
      <rPr>
        <sz val="10"/>
        <color theme="1"/>
        <rFont val="Verdana"/>
        <family val="2"/>
      </rPr>
      <t>= TONNAGE * F</t>
    </r>
    <r>
      <rPr>
        <sz val="8"/>
        <color theme="1"/>
        <rFont val="Verdana"/>
        <family val="2"/>
      </rPr>
      <t>reg</t>
    </r>
  </si>
  <si>
    <r>
      <t>Fchem</t>
    </r>
    <r>
      <rPr>
        <sz val="8"/>
        <color theme="1"/>
        <rFont val="Verdana"/>
        <family val="2"/>
      </rPr>
      <t>form</t>
    </r>
  </si>
  <si>
    <t>Fraction of the active substance in the formulation (= end-product)</t>
  </si>
  <si>
    <t>Total tonnage in a region for the formulation</t>
  </si>
  <si>
    <r>
      <t>TONNAGEreg</t>
    </r>
    <r>
      <rPr>
        <sz val="8"/>
        <color theme="1"/>
        <rFont val="Verdana"/>
        <family val="2"/>
      </rPr>
      <t>form</t>
    </r>
  </si>
  <si>
    <t>- The default values can be overwritten. Once overwritten, in order to revert to the default values, these need to be manually introduced. Alternatively replace this worksheet by copying the one from the excel file in ECHA website.</t>
  </si>
  <si>
    <t>Notes:</t>
  </si>
  <si>
    <t>Select form of product</t>
  </si>
  <si>
    <t xml:space="preserve">Regular powder </t>
  </si>
  <si>
    <t>Compact powder</t>
  </si>
  <si>
    <t>Liquid</t>
  </si>
  <si>
    <t>Unknown</t>
  </si>
  <si>
    <r>
      <t>Emission factor (F</t>
    </r>
    <r>
      <rPr>
        <b/>
        <sz val="8"/>
        <color theme="1"/>
        <rFont val="Verdana"/>
        <family val="2"/>
      </rPr>
      <t>water</t>
    </r>
    <r>
      <rPr>
        <b/>
        <sz val="10"/>
        <color theme="1"/>
        <rFont val="Verdana"/>
        <family val="2"/>
      </rPr>
      <t>)</t>
    </r>
  </si>
  <si>
    <r>
      <t>TONNAGEreg</t>
    </r>
    <r>
      <rPr>
        <b/>
        <sz val="8"/>
        <color theme="1"/>
        <rFont val="Verdana"/>
        <family val="2"/>
      </rPr>
      <t>form (tonnes/year)</t>
    </r>
  </si>
  <si>
    <t xml:space="preserve">fmainsource </t>
  </si>
  <si>
    <r>
      <t>2*f</t>
    </r>
    <r>
      <rPr>
        <sz val="8"/>
        <color theme="1"/>
        <rFont val="Verdana"/>
        <family val="2"/>
      </rPr>
      <t>mainsource</t>
    </r>
    <r>
      <rPr>
        <sz val="10"/>
        <color theme="1"/>
        <rFont val="Verdana"/>
        <family val="2"/>
      </rPr>
      <t>*TONNAGEreg</t>
    </r>
    <r>
      <rPr>
        <sz val="8"/>
        <color theme="1"/>
        <rFont val="Verdana"/>
        <family val="2"/>
      </rPr>
      <t>form</t>
    </r>
  </si>
  <si>
    <r>
      <t>f</t>
    </r>
    <r>
      <rPr>
        <sz val="8"/>
        <color theme="1"/>
        <rFont val="Verdana"/>
        <family val="2"/>
      </rPr>
      <t>mainsource</t>
    </r>
    <r>
      <rPr>
        <sz val="10"/>
        <color theme="1"/>
        <rFont val="Verdana"/>
        <family val="2"/>
      </rPr>
      <t>*TONNAGEreg</t>
    </r>
    <r>
      <rPr>
        <sz val="8"/>
        <color theme="1"/>
        <rFont val="Verdana"/>
        <family val="2"/>
      </rPr>
      <t>form</t>
    </r>
  </si>
  <si>
    <r>
      <t>0.5*f</t>
    </r>
    <r>
      <rPr>
        <sz val="8"/>
        <color theme="1"/>
        <rFont val="Verdana"/>
        <family val="2"/>
      </rPr>
      <t>mainsource</t>
    </r>
    <r>
      <rPr>
        <sz val="10"/>
        <color theme="1"/>
        <rFont val="Verdana"/>
        <family val="2"/>
      </rPr>
      <t>*TONNAGEreg</t>
    </r>
    <r>
      <rPr>
        <sz val="8"/>
        <color theme="1"/>
        <rFont val="Verdana"/>
        <family val="2"/>
      </rPr>
      <t>form</t>
    </r>
  </si>
  <si>
    <t>&lt; 100 t/yr (non-HPVC)</t>
  </si>
  <si>
    <t>&lt; 3500 t/yr (HPVC)</t>
  </si>
  <si>
    <t>Fraction of the main local source</t>
  </si>
  <si>
    <r>
      <t>T</t>
    </r>
    <r>
      <rPr>
        <sz val="8"/>
        <color theme="1"/>
        <rFont val="Verdana"/>
        <family val="2"/>
      </rPr>
      <t>emission</t>
    </r>
  </si>
  <si>
    <t>Release fraction to wastewater</t>
  </si>
  <si>
    <t>Select</t>
  </si>
  <si>
    <t>APPLICATION PHASE</t>
  </si>
  <si>
    <t>Tonnage based</t>
  </si>
  <si>
    <t>Consumption based</t>
  </si>
  <si>
    <r>
      <t>F</t>
    </r>
    <r>
      <rPr>
        <sz val="8"/>
        <color theme="1"/>
        <rFont val="Verdana"/>
        <family val="2"/>
      </rPr>
      <t>water</t>
    </r>
    <r>
      <rPr>
        <sz val="10"/>
        <color theme="1"/>
        <rFont val="Verdana"/>
        <family val="2"/>
      </rPr>
      <t xml:space="preserve"> can be refined by Specific Environmental Release Categories (SpERCs). Enter refined F</t>
    </r>
    <r>
      <rPr>
        <sz val="8"/>
        <color theme="1"/>
        <rFont val="Verdana"/>
        <family val="2"/>
      </rPr>
      <t>water</t>
    </r>
    <r>
      <rPr>
        <sz val="10"/>
        <color theme="1"/>
        <rFont val="Verdana"/>
        <family val="2"/>
      </rPr>
      <t xml:space="preserve"> (if you wish to refine the emission estimate).</t>
    </r>
  </si>
  <si>
    <r>
      <t>F</t>
    </r>
    <r>
      <rPr>
        <sz val="8"/>
        <color theme="1"/>
        <rFont val="Verdana"/>
        <family val="2"/>
      </rPr>
      <t>water refined</t>
    </r>
  </si>
  <si>
    <t>Refined emission rate to wastewater</t>
  </si>
  <si>
    <r>
      <t>Elocal</t>
    </r>
    <r>
      <rPr>
        <sz val="8"/>
        <color theme="1"/>
        <rFont val="Verdana"/>
        <family val="2"/>
      </rPr>
      <t>water refined</t>
    </r>
  </si>
  <si>
    <t>- Two life cycle stages have to be considered: formulation and application of the end-product. For the formulation step only a tonnage-based approach is taken into account whereas for the application phase a tonnage as well as a consumption-based approach are taken into account.</t>
  </si>
  <si>
    <r>
      <t xml:space="preserve">Fraction released to wastewater </t>
    </r>
    <r>
      <rPr>
        <vertAlign val="superscript"/>
        <sz val="10"/>
        <color theme="1"/>
        <rFont val="Verdana"/>
        <family val="2"/>
      </rPr>
      <t>3</t>
    </r>
  </si>
  <si>
    <r>
      <t>3) F</t>
    </r>
    <r>
      <rPr>
        <i/>
        <sz val="8"/>
        <color rgb="FF0070C0"/>
        <rFont val="Verdana"/>
        <family val="2"/>
      </rPr>
      <t>water</t>
    </r>
    <r>
      <rPr>
        <i/>
        <sz val="10"/>
        <color rgb="FF0070C0"/>
        <rFont val="Verdana"/>
        <family val="2"/>
      </rPr>
      <t xml:space="preserve"> = 1 by default, but the user may lower this value in case of  'non-rinse-off' products. </t>
    </r>
  </si>
  <si>
    <t>FORMULATION PHASE</t>
  </si>
  <si>
    <t>- The default values can be overwritten. Once overwritten, in order to revert to The default values, these need to be manually introduced. Alternatively replace this worksheet by copying The one from The excel file in ECHA website.</t>
  </si>
  <si>
    <t>- Three life cycle stages have to be considered: formulation (tonnage based), application (tonnage and consumption based) and service life (consumption based).</t>
  </si>
  <si>
    <t>Emission estimation for the formulation process of paints and coatings (ESD § 3.2.4.1)</t>
  </si>
  <si>
    <t>ESD PT 6, Table 5, p.29</t>
  </si>
  <si>
    <t>Fwater</t>
  </si>
  <si>
    <t>Fair</t>
  </si>
  <si>
    <t>&lt; 3500 t/yr</t>
  </si>
  <si>
    <t>Pick list: ESD PT 6, Table 4, p.25</t>
  </si>
  <si>
    <t>Release fraction to air</t>
  </si>
  <si>
    <r>
      <t>F</t>
    </r>
    <r>
      <rPr>
        <sz val="8"/>
        <color theme="1"/>
        <rFont val="Verdana"/>
        <family val="2"/>
      </rPr>
      <t>air</t>
    </r>
  </si>
  <si>
    <t>Release fraction to soil</t>
  </si>
  <si>
    <r>
      <t>F</t>
    </r>
    <r>
      <rPr>
        <sz val="8"/>
        <color theme="1"/>
        <rFont val="Verdana"/>
        <family val="2"/>
      </rPr>
      <t>soil</t>
    </r>
  </si>
  <si>
    <r>
      <t>Release factors can be refined by Specific Environmental Release Categories (SpERCs). Enter refined F</t>
    </r>
    <r>
      <rPr>
        <sz val="8"/>
        <color theme="1"/>
        <rFont val="Verdana"/>
        <family val="2"/>
      </rPr>
      <t>water</t>
    </r>
    <r>
      <rPr>
        <sz val="10"/>
        <color theme="1"/>
        <rFont val="Verdana"/>
        <family val="2"/>
      </rPr>
      <t>, F</t>
    </r>
    <r>
      <rPr>
        <sz val="8"/>
        <color theme="1"/>
        <rFont val="Verdana"/>
        <family val="2"/>
      </rPr>
      <t>air</t>
    </r>
    <r>
      <rPr>
        <sz val="10"/>
        <color theme="1"/>
        <rFont val="Verdana"/>
        <family val="2"/>
      </rPr>
      <t xml:space="preserve"> and F</t>
    </r>
    <r>
      <rPr>
        <sz val="8"/>
        <color theme="1"/>
        <rFont val="Verdana"/>
        <family val="2"/>
      </rPr>
      <t>soil</t>
    </r>
    <r>
      <rPr>
        <sz val="10"/>
        <color theme="1"/>
        <rFont val="Verdana"/>
        <family val="2"/>
      </rPr>
      <t xml:space="preserve"> (if you wish to refine the emission estimate).</t>
    </r>
  </si>
  <si>
    <r>
      <t>F</t>
    </r>
    <r>
      <rPr>
        <sz val="8"/>
        <color theme="1"/>
        <rFont val="Verdana"/>
        <family val="2"/>
      </rPr>
      <t>air refined</t>
    </r>
  </si>
  <si>
    <r>
      <t>F</t>
    </r>
    <r>
      <rPr>
        <sz val="8"/>
        <color theme="1"/>
        <rFont val="Verdana"/>
        <family val="2"/>
      </rPr>
      <t>soil refined</t>
    </r>
  </si>
  <si>
    <t>Refined release estimates</t>
  </si>
  <si>
    <t>Emission rate to air</t>
  </si>
  <si>
    <t>Emission rate to soil</t>
  </si>
  <si>
    <r>
      <t>Elocal</t>
    </r>
    <r>
      <rPr>
        <sz val="8"/>
        <color theme="1"/>
        <rFont val="Verdana"/>
        <family val="2"/>
      </rPr>
      <t>soil</t>
    </r>
  </si>
  <si>
    <r>
      <rPr>
        <b/>
        <sz val="10"/>
        <color theme="1"/>
        <rFont val="Verdana"/>
        <family val="2"/>
      </rPr>
      <t>Elocal</t>
    </r>
    <r>
      <rPr>
        <b/>
        <sz val="8"/>
        <color theme="1"/>
        <rFont val="Verdana"/>
        <family val="2"/>
      </rPr>
      <t>water</t>
    </r>
    <r>
      <rPr>
        <b/>
        <sz val="10"/>
        <color theme="1"/>
        <rFont val="Verdana"/>
        <family val="2"/>
      </rPr>
      <t xml:space="preserve"> </t>
    </r>
    <r>
      <rPr>
        <sz val="10"/>
        <color theme="1"/>
        <rFont val="Verdana"/>
        <family val="2"/>
      </rPr>
      <t>= TONNAGE</t>
    </r>
    <r>
      <rPr>
        <sz val="8"/>
        <color theme="1"/>
        <rFont val="Verdana"/>
        <family val="2"/>
      </rPr>
      <t>reg</t>
    </r>
    <r>
      <rPr>
        <sz val="10"/>
        <color theme="1"/>
        <rFont val="Verdana"/>
        <family val="2"/>
      </rPr>
      <t xml:space="preserve"> * 10</t>
    </r>
    <r>
      <rPr>
        <vertAlign val="superscript"/>
        <sz val="10"/>
        <color theme="1"/>
        <rFont val="Verdana"/>
        <family val="2"/>
      </rPr>
      <t>3</t>
    </r>
    <r>
      <rPr>
        <sz val="10"/>
        <color theme="1"/>
        <rFont val="Verdana"/>
        <family val="2"/>
      </rPr>
      <t xml:space="preserve"> * F</t>
    </r>
    <r>
      <rPr>
        <sz val="8"/>
        <color theme="1"/>
        <rFont val="Verdana"/>
        <family val="2"/>
      </rPr>
      <t>mainsource</t>
    </r>
    <r>
      <rPr>
        <sz val="10"/>
        <color theme="1"/>
        <rFont val="Verdana"/>
        <family val="2"/>
      </rPr>
      <t xml:space="preserve"> * F</t>
    </r>
    <r>
      <rPr>
        <sz val="8"/>
        <color theme="1"/>
        <rFont val="Verdana"/>
        <family val="2"/>
      </rPr>
      <t>water</t>
    </r>
    <r>
      <rPr>
        <sz val="10"/>
        <color theme="1"/>
        <rFont val="Verdana"/>
        <family val="2"/>
      </rPr>
      <t xml:space="preserve"> / T</t>
    </r>
    <r>
      <rPr>
        <sz val="8"/>
        <color theme="1"/>
        <rFont val="Verdana"/>
        <family val="2"/>
      </rPr>
      <t>emission</t>
    </r>
  </si>
  <si>
    <r>
      <rPr>
        <b/>
        <sz val="10"/>
        <color theme="1"/>
        <rFont val="Verdana"/>
        <family val="2"/>
      </rPr>
      <t>Elocal</t>
    </r>
    <r>
      <rPr>
        <b/>
        <sz val="8"/>
        <color theme="1"/>
        <rFont val="Verdana"/>
        <family val="2"/>
      </rPr>
      <t>air</t>
    </r>
    <r>
      <rPr>
        <b/>
        <sz val="10"/>
        <color theme="1"/>
        <rFont val="Verdana"/>
        <family val="2"/>
      </rPr>
      <t xml:space="preserve"> </t>
    </r>
    <r>
      <rPr>
        <sz val="10"/>
        <color theme="1"/>
        <rFont val="Verdana"/>
        <family val="2"/>
      </rPr>
      <t>= TONNAGE</t>
    </r>
    <r>
      <rPr>
        <sz val="8"/>
        <color theme="1"/>
        <rFont val="Verdana"/>
        <family val="2"/>
      </rPr>
      <t>reg</t>
    </r>
    <r>
      <rPr>
        <sz val="10"/>
        <color theme="1"/>
        <rFont val="Verdana"/>
        <family val="2"/>
      </rPr>
      <t xml:space="preserve"> * 10</t>
    </r>
    <r>
      <rPr>
        <vertAlign val="superscript"/>
        <sz val="10"/>
        <color theme="1"/>
        <rFont val="Verdana"/>
        <family val="2"/>
      </rPr>
      <t>3</t>
    </r>
    <r>
      <rPr>
        <sz val="10"/>
        <color theme="1"/>
        <rFont val="Verdana"/>
        <family val="2"/>
      </rPr>
      <t xml:space="preserve"> * F</t>
    </r>
    <r>
      <rPr>
        <sz val="8"/>
        <color theme="1"/>
        <rFont val="Verdana"/>
        <family val="2"/>
      </rPr>
      <t>mainsource</t>
    </r>
    <r>
      <rPr>
        <sz val="10"/>
        <color theme="1"/>
        <rFont val="Verdana"/>
        <family val="2"/>
      </rPr>
      <t xml:space="preserve"> * F</t>
    </r>
    <r>
      <rPr>
        <sz val="8"/>
        <color theme="1"/>
        <rFont val="Verdana"/>
        <family val="2"/>
      </rPr>
      <t>air</t>
    </r>
    <r>
      <rPr>
        <sz val="10"/>
        <color theme="1"/>
        <rFont val="Verdana"/>
        <family val="2"/>
      </rPr>
      <t xml:space="preserve"> / T</t>
    </r>
    <r>
      <rPr>
        <sz val="8"/>
        <color theme="1"/>
        <rFont val="Verdana"/>
        <family val="2"/>
      </rPr>
      <t>emission</t>
    </r>
  </si>
  <si>
    <r>
      <rPr>
        <b/>
        <sz val="10"/>
        <color theme="1"/>
        <rFont val="Verdana"/>
        <family val="2"/>
      </rPr>
      <t>Elocal</t>
    </r>
    <r>
      <rPr>
        <b/>
        <sz val="8"/>
        <color theme="1"/>
        <rFont val="Verdana"/>
        <family val="2"/>
      </rPr>
      <t>soil</t>
    </r>
    <r>
      <rPr>
        <b/>
        <sz val="10"/>
        <color theme="1"/>
        <rFont val="Verdana"/>
        <family val="2"/>
      </rPr>
      <t xml:space="preserve"> </t>
    </r>
    <r>
      <rPr>
        <sz val="10"/>
        <color theme="1"/>
        <rFont val="Verdana"/>
        <family val="2"/>
      </rPr>
      <t>= TONNAGE</t>
    </r>
    <r>
      <rPr>
        <sz val="8"/>
        <color theme="1"/>
        <rFont val="Verdana"/>
        <family val="2"/>
      </rPr>
      <t>reg</t>
    </r>
    <r>
      <rPr>
        <sz val="10"/>
        <color theme="1"/>
        <rFont val="Verdana"/>
        <family val="2"/>
      </rPr>
      <t xml:space="preserve"> * 10</t>
    </r>
    <r>
      <rPr>
        <vertAlign val="superscript"/>
        <sz val="10"/>
        <color theme="1"/>
        <rFont val="Verdana"/>
        <family val="2"/>
      </rPr>
      <t>3</t>
    </r>
    <r>
      <rPr>
        <sz val="10"/>
        <color theme="1"/>
        <rFont val="Verdana"/>
        <family val="2"/>
      </rPr>
      <t xml:space="preserve"> * F</t>
    </r>
    <r>
      <rPr>
        <sz val="8"/>
        <color theme="1"/>
        <rFont val="Verdana"/>
        <family val="2"/>
      </rPr>
      <t>mainsource</t>
    </r>
    <r>
      <rPr>
        <sz val="10"/>
        <color theme="1"/>
        <rFont val="Verdana"/>
        <family val="2"/>
      </rPr>
      <t xml:space="preserve"> * F</t>
    </r>
    <r>
      <rPr>
        <sz val="8"/>
        <color theme="1"/>
        <rFont val="Verdana"/>
        <family val="2"/>
      </rPr>
      <t>soil</t>
    </r>
    <r>
      <rPr>
        <sz val="10"/>
        <color theme="1"/>
        <rFont val="Verdana"/>
        <family val="2"/>
      </rPr>
      <t xml:space="preserve"> / T</t>
    </r>
    <r>
      <rPr>
        <sz val="8"/>
        <color theme="1"/>
        <rFont val="Verdana"/>
        <family val="2"/>
      </rPr>
      <t>emission</t>
    </r>
  </si>
  <si>
    <t>Refined emission rate to air</t>
  </si>
  <si>
    <t>Refined emission rate to soil</t>
  </si>
  <si>
    <r>
      <t>Elocal</t>
    </r>
    <r>
      <rPr>
        <sz val="8"/>
        <color theme="1"/>
        <rFont val="Verdana"/>
        <family val="2"/>
      </rPr>
      <t>air refined</t>
    </r>
  </si>
  <si>
    <r>
      <t>Elocal</t>
    </r>
    <r>
      <rPr>
        <sz val="8"/>
        <color theme="1"/>
        <rFont val="Verdana"/>
        <family val="2"/>
      </rPr>
      <t>soil refined</t>
    </r>
  </si>
  <si>
    <t>Spreadsheet "PT6 - paints&amp;coatings"</t>
  </si>
  <si>
    <t>SERVICE LIFE</t>
  </si>
  <si>
    <t>City scenario - Consumption based</t>
  </si>
  <si>
    <t>Countryside scenario - Consumption based</t>
  </si>
  <si>
    <t>Go to the top of the page</t>
  </si>
  <si>
    <t>-The default values can be overwritten. Once overwritten, in order to revert to the default values, these need to be manually introduced. Alternatively replace this worksheet by copying the one from the excel file in ECHA website.</t>
  </si>
  <si>
    <t>Emission estimation for the formulation process of additives used in the paper production (ESD § 3.3.1.4.1)</t>
  </si>
  <si>
    <t>Papermaking</t>
  </si>
  <si>
    <t>Recycling step</t>
  </si>
  <si>
    <t>-Two life cycle stages have to be considered: formulation of the preserved product and application.</t>
  </si>
  <si>
    <t>Spreadsheet "PT6 - paper"</t>
  </si>
  <si>
    <t>&lt; 5 t/yr (non-HPVC, UC 10 or 45)</t>
  </si>
  <si>
    <t>&lt; 100 t/yr (non-HPVC, UC other than UC 10 and 45)</t>
  </si>
  <si>
    <t>Temission calculation</t>
  </si>
  <si>
    <t>VP &lt; 10 Pa</t>
  </si>
  <si>
    <t>4. The release fraction to wastewater depends on the form of the product (regular powder, compact powder, liquid or unknown). Select it from the drop-down list.</t>
  </si>
  <si>
    <t>6. The emission rate to wastewater will be calculated.</t>
  </si>
  <si>
    <r>
      <t>2. Enter the fraction of the active substance in the formulation (=end-product) (Fchem</t>
    </r>
    <r>
      <rPr>
        <sz val="8"/>
        <rFont val="Verdana"/>
        <family val="2"/>
      </rPr>
      <t>form</t>
    </r>
    <r>
      <rPr>
        <sz val="10"/>
        <rFont val="Verdana"/>
        <family val="2"/>
      </rPr>
      <t>) to calculate TONNAGEreg</t>
    </r>
    <r>
      <rPr>
        <sz val="8"/>
        <rFont val="Verdana"/>
        <family val="2"/>
      </rPr>
      <t>form</t>
    </r>
    <r>
      <rPr>
        <sz val="10"/>
        <rFont val="Verdana"/>
        <family val="2"/>
      </rPr>
      <t xml:space="preserve"> (this is used to estimate Fmainsource and Temission).</t>
    </r>
  </si>
  <si>
    <t>6. The emission rates to wastewater, to air and to soil will be calculated.</t>
  </si>
  <si>
    <r>
      <t>2. Enter the fraction of the active substance in the formulation (=end-product) (Fchem</t>
    </r>
    <r>
      <rPr>
        <sz val="8"/>
        <rFont val="Verdana"/>
        <family val="2"/>
      </rPr>
      <t>form</t>
    </r>
    <r>
      <rPr>
        <sz val="10"/>
        <rFont val="Verdana"/>
        <family val="2"/>
      </rPr>
      <t>) to calculate TONNAGEreg</t>
    </r>
    <r>
      <rPr>
        <sz val="8"/>
        <rFont val="Verdana"/>
        <family val="2"/>
      </rPr>
      <t xml:space="preserve">form </t>
    </r>
    <r>
      <rPr>
        <sz val="10"/>
        <rFont val="Verdana"/>
        <family val="2"/>
      </rPr>
      <t>(this is used to estimate F</t>
    </r>
    <r>
      <rPr>
        <sz val="8"/>
        <rFont val="Verdana"/>
        <family val="2"/>
      </rPr>
      <t>mainsource</t>
    </r>
    <r>
      <rPr>
        <sz val="10"/>
        <rFont val="Verdana"/>
        <family val="2"/>
      </rPr>
      <t>, T</t>
    </r>
    <r>
      <rPr>
        <sz val="8"/>
        <rFont val="Verdana"/>
        <family val="2"/>
      </rPr>
      <t>emission</t>
    </r>
    <r>
      <rPr>
        <sz val="10"/>
        <rFont val="Verdana"/>
        <family val="2"/>
      </rPr>
      <t xml:space="preserve"> and F</t>
    </r>
    <r>
      <rPr>
        <sz val="8"/>
        <rFont val="Verdana"/>
        <family val="2"/>
      </rPr>
      <t>water</t>
    </r>
    <r>
      <rPr>
        <sz val="10"/>
        <rFont val="Verdana"/>
        <family val="2"/>
      </rPr>
      <t>).</t>
    </r>
  </si>
  <si>
    <t>4. The release fraction to air depends on the substance vapour pressure. Select it from the drop-down list.</t>
  </si>
  <si>
    <t>1. In the Input table select whether the in-can preservative is used solely for dry-end operations (Yes/No).</t>
  </si>
  <si>
    <r>
      <t>2. Select the type of paper from the drop down menu. Q</t>
    </r>
    <r>
      <rPr>
        <sz val="8"/>
        <rFont val="Verdana"/>
        <family val="2"/>
      </rPr>
      <t>paper</t>
    </r>
    <r>
      <rPr>
        <sz val="10"/>
        <rFont val="Verdana"/>
        <family val="2"/>
      </rPr>
      <t>, Q</t>
    </r>
    <r>
      <rPr>
        <sz val="8"/>
        <rFont val="Verdana"/>
        <family val="2"/>
      </rPr>
      <t>additive</t>
    </r>
    <r>
      <rPr>
        <sz val="10"/>
        <rFont val="Verdana"/>
        <family val="2"/>
      </rPr>
      <t xml:space="preserve"> and F</t>
    </r>
    <r>
      <rPr>
        <sz val="8"/>
        <rFont val="Verdana"/>
        <family val="2"/>
      </rPr>
      <t>closure</t>
    </r>
    <r>
      <rPr>
        <sz val="10"/>
        <rFont val="Verdana"/>
        <family val="2"/>
      </rPr>
      <t xml:space="preserve"> will be automatically filled in.</t>
    </r>
  </si>
  <si>
    <r>
      <t>3. Enter the value of concentration of active substance in the additive (C</t>
    </r>
    <r>
      <rPr>
        <sz val="8"/>
        <rFont val="Verdana"/>
        <family val="2"/>
      </rPr>
      <t>a.i.</t>
    </r>
    <r>
      <rPr>
        <sz val="10"/>
        <rFont val="Verdana"/>
        <family val="2"/>
      </rPr>
      <t>).</t>
    </r>
  </si>
  <si>
    <t>4. The local emission of active substance to waste water will be automatically calculated.</t>
  </si>
  <si>
    <t>2. Select whether the substance is easy or poorly soluble from the drop-down menu (the fraction removed from waste water during preliminary on-site treatment depends on the solubility of the substance).</t>
  </si>
  <si>
    <t>3. The total emission to sludge will be automatically calculated.</t>
  </si>
  <si>
    <t>Emission estimation for the formulation process of additives used in the textile production (ESD § 3.3.2.4.1)</t>
  </si>
  <si>
    <t>Spreadsheet "PT6 - textile"</t>
  </si>
  <si>
    <t>Emission scenario for calculating the release from chemicals used in textile processing  (ESD § 3.3.2.4.2)</t>
  </si>
  <si>
    <t>Mass of textile processed per day</t>
  </si>
  <si>
    <t>Mass of auxiliary per mass of fabric</t>
  </si>
  <si>
    <t>- pre-treatment</t>
  </si>
  <si>
    <t>- exhaust process</t>
  </si>
  <si>
    <t>- padding processes</t>
  </si>
  <si>
    <r>
      <t>Q</t>
    </r>
    <r>
      <rPr>
        <sz val="8"/>
        <color theme="1"/>
        <rFont val="Verdana"/>
        <family val="2"/>
      </rPr>
      <t>textile</t>
    </r>
  </si>
  <si>
    <r>
      <t>Q</t>
    </r>
    <r>
      <rPr>
        <sz val="8"/>
        <color theme="1"/>
        <rFont val="Verdana"/>
        <family val="2"/>
      </rPr>
      <t>product</t>
    </r>
  </si>
  <si>
    <r>
      <t>C</t>
    </r>
    <r>
      <rPr>
        <sz val="8"/>
        <color theme="1"/>
        <rFont val="Verdana"/>
        <family val="2"/>
      </rPr>
      <t>substance</t>
    </r>
  </si>
  <si>
    <t>Degree of fixation</t>
  </si>
  <si>
    <r>
      <t>F</t>
    </r>
    <r>
      <rPr>
        <sz val="8"/>
        <color theme="1"/>
        <rFont val="Verdana"/>
        <family val="2"/>
      </rPr>
      <t>fixation</t>
    </r>
  </si>
  <si>
    <t>Fraction of fabric treated with one auxiliary, basic chemical or dyestuff</t>
  </si>
  <si>
    <r>
      <t>F</t>
    </r>
    <r>
      <rPr>
        <sz val="8"/>
        <color theme="1"/>
        <rFont val="Verdana"/>
        <family val="2"/>
      </rPr>
      <t>product</t>
    </r>
  </si>
  <si>
    <t>Amount of residual liquors</t>
  </si>
  <si>
    <r>
      <t>F</t>
    </r>
    <r>
      <rPr>
        <sz val="8"/>
        <color theme="1"/>
        <rFont val="Verdana"/>
        <family val="2"/>
      </rPr>
      <t>residual liquor</t>
    </r>
  </si>
  <si>
    <t>Market share of in-can preservative</t>
  </si>
  <si>
    <t>Local emission of dyestuff per day to waste water</t>
  </si>
  <si>
    <t>Local emission of active substance to air</t>
  </si>
  <si>
    <r>
      <t>Elocal</t>
    </r>
    <r>
      <rPr>
        <b/>
        <sz val="8"/>
        <color theme="1"/>
        <rFont val="Verdana"/>
        <family val="2"/>
      </rPr>
      <t>water</t>
    </r>
    <r>
      <rPr>
        <b/>
        <sz val="10"/>
        <color theme="1"/>
        <rFont val="Verdana"/>
        <family val="2"/>
      </rPr>
      <t xml:space="preserve"> </t>
    </r>
    <r>
      <rPr>
        <sz val="10"/>
        <color theme="1"/>
        <rFont val="Verdana"/>
        <family val="2"/>
      </rPr>
      <t>= Q</t>
    </r>
    <r>
      <rPr>
        <sz val="8"/>
        <color theme="1"/>
        <rFont val="Verdana"/>
        <family val="2"/>
      </rPr>
      <t>textile</t>
    </r>
    <r>
      <rPr>
        <sz val="10"/>
        <color theme="1"/>
        <rFont val="Verdana"/>
        <family val="2"/>
      </rPr>
      <t xml:space="preserve"> * Q</t>
    </r>
    <r>
      <rPr>
        <sz val="8"/>
        <color theme="1"/>
        <rFont val="Verdana"/>
        <family val="2"/>
      </rPr>
      <t>product</t>
    </r>
    <r>
      <rPr>
        <sz val="10"/>
        <color theme="1"/>
        <rFont val="Verdana"/>
        <family val="2"/>
      </rPr>
      <t xml:space="preserve"> * C</t>
    </r>
    <r>
      <rPr>
        <sz val="8"/>
        <color theme="1"/>
        <rFont val="Verdana"/>
        <family val="2"/>
      </rPr>
      <t>substance</t>
    </r>
    <r>
      <rPr>
        <sz val="10"/>
        <color theme="1"/>
        <rFont val="Verdana"/>
        <family val="2"/>
      </rPr>
      <t xml:space="preserve"> * (1-F</t>
    </r>
    <r>
      <rPr>
        <sz val="8"/>
        <color theme="1"/>
        <rFont val="Verdana"/>
        <family val="2"/>
      </rPr>
      <t>fixation</t>
    </r>
    <r>
      <rPr>
        <sz val="10"/>
        <color theme="1"/>
        <rFont val="Verdana"/>
        <family val="2"/>
      </rPr>
      <t>) * F</t>
    </r>
    <r>
      <rPr>
        <sz val="8"/>
        <color theme="1"/>
        <rFont val="Verdana"/>
        <family val="2"/>
      </rPr>
      <t>penetr</t>
    </r>
  </si>
  <si>
    <r>
      <t>Elocal</t>
    </r>
    <r>
      <rPr>
        <b/>
        <sz val="8"/>
        <color theme="1"/>
        <rFont val="Verdana"/>
        <family val="2"/>
      </rPr>
      <t>water</t>
    </r>
    <r>
      <rPr>
        <b/>
        <sz val="10"/>
        <color theme="1"/>
        <rFont val="Verdana"/>
        <family val="2"/>
      </rPr>
      <t xml:space="preserve"> </t>
    </r>
    <r>
      <rPr>
        <sz val="10"/>
        <color theme="1"/>
        <rFont val="Verdana"/>
        <family val="2"/>
      </rPr>
      <t>= Q</t>
    </r>
    <r>
      <rPr>
        <sz val="8"/>
        <color theme="1"/>
        <rFont val="Verdana"/>
        <family val="2"/>
      </rPr>
      <t>textile</t>
    </r>
    <r>
      <rPr>
        <sz val="10"/>
        <color theme="1"/>
        <rFont val="Verdana"/>
        <family val="2"/>
      </rPr>
      <t xml:space="preserve"> * F</t>
    </r>
    <r>
      <rPr>
        <sz val="8"/>
        <color theme="1"/>
        <rFont val="Verdana"/>
        <family val="2"/>
      </rPr>
      <t>product</t>
    </r>
    <r>
      <rPr>
        <sz val="10"/>
        <color theme="1"/>
        <rFont val="Verdana"/>
        <family val="2"/>
      </rPr>
      <t xml:space="preserve"> * Q</t>
    </r>
    <r>
      <rPr>
        <sz val="8"/>
        <color theme="1"/>
        <rFont val="Verdana"/>
        <family val="2"/>
      </rPr>
      <t>product</t>
    </r>
    <r>
      <rPr>
        <sz val="10"/>
        <color theme="1"/>
        <rFont val="Verdana"/>
        <family val="2"/>
      </rPr>
      <t xml:space="preserve"> * C</t>
    </r>
    <r>
      <rPr>
        <sz val="8"/>
        <color theme="1"/>
        <rFont val="Verdana"/>
        <family val="2"/>
      </rPr>
      <t>substance</t>
    </r>
    <r>
      <rPr>
        <sz val="10"/>
        <color theme="1"/>
        <rFont val="Verdana"/>
        <family val="2"/>
      </rPr>
      <t xml:space="preserve"> * (1-F</t>
    </r>
    <r>
      <rPr>
        <sz val="8"/>
        <color theme="1"/>
        <rFont val="Verdana"/>
        <family val="2"/>
      </rPr>
      <t>fixation</t>
    </r>
    <r>
      <rPr>
        <sz val="10"/>
        <color theme="1"/>
        <rFont val="Verdana"/>
        <family val="2"/>
      </rPr>
      <t>) * F</t>
    </r>
    <r>
      <rPr>
        <sz val="8"/>
        <color theme="1"/>
        <rFont val="Verdana"/>
        <family val="2"/>
      </rPr>
      <t>penetr</t>
    </r>
  </si>
  <si>
    <r>
      <t>Elocal</t>
    </r>
    <r>
      <rPr>
        <b/>
        <sz val="8"/>
        <color theme="1"/>
        <rFont val="Verdana"/>
        <family val="2"/>
      </rPr>
      <t>water</t>
    </r>
    <r>
      <rPr>
        <b/>
        <sz val="10"/>
        <color theme="1"/>
        <rFont val="Verdana"/>
        <family val="2"/>
      </rPr>
      <t xml:space="preserve"> </t>
    </r>
    <r>
      <rPr>
        <sz val="10"/>
        <color theme="1"/>
        <rFont val="Verdana"/>
        <family val="2"/>
      </rPr>
      <t>= {Q</t>
    </r>
    <r>
      <rPr>
        <sz val="8"/>
        <color theme="1"/>
        <rFont val="Verdana"/>
        <family val="2"/>
      </rPr>
      <t>textile</t>
    </r>
    <r>
      <rPr>
        <sz val="10"/>
        <color theme="1"/>
        <rFont val="Verdana"/>
        <family val="2"/>
      </rPr>
      <t xml:space="preserve"> * F</t>
    </r>
    <r>
      <rPr>
        <sz val="8"/>
        <color theme="1"/>
        <rFont val="Verdana"/>
        <family val="2"/>
      </rPr>
      <t>product</t>
    </r>
    <r>
      <rPr>
        <sz val="10"/>
        <color theme="1"/>
        <rFont val="Verdana"/>
        <family val="2"/>
      </rPr>
      <t xml:space="preserve"> * Q</t>
    </r>
    <r>
      <rPr>
        <sz val="8"/>
        <color theme="1"/>
        <rFont val="Verdana"/>
        <family val="2"/>
      </rPr>
      <t>product</t>
    </r>
    <r>
      <rPr>
        <sz val="10"/>
        <color theme="1"/>
        <rFont val="Verdana"/>
        <family val="2"/>
      </rPr>
      <t xml:space="preserve"> * C</t>
    </r>
    <r>
      <rPr>
        <sz val="8"/>
        <color theme="1"/>
        <rFont val="Verdana"/>
        <family val="2"/>
      </rPr>
      <t>substance</t>
    </r>
    <r>
      <rPr>
        <sz val="10"/>
        <color theme="1"/>
        <rFont val="Verdana"/>
        <family val="2"/>
      </rPr>
      <t xml:space="preserve"> * (1-F</t>
    </r>
    <r>
      <rPr>
        <sz val="8"/>
        <color theme="1"/>
        <rFont val="Verdana"/>
        <family val="2"/>
      </rPr>
      <t>fixation</t>
    </r>
    <r>
      <rPr>
        <sz val="10"/>
        <color theme="1"/>
        <rFont val="Verdana"/>
        <family val="2"/>
      </rPr>
      <t>) * F</t>
    </r>
    <r>
      <rPr>
        <sz val="8"/>
        <color theme="1"/>
        <rFont val="Verdana"/>
        <family val="2"/>
      </rPr>
      <t>penetr</t>
    </r>
    <r>
      <rPr>
        <sz val="10"/>
        <color theme="1"/>
        <rFont val="Verdana"/>
        <family val="2"/>
      </rPr>
      <t>} + {Q</t>
    </r>
    <r>
      <rPr>
        <sz val="8"/>
        <color theme="1"/>
        <rFont val="Verdana"/>
        <family val="2"/>
      </rPr>
      <t>textile</t>
    </r>
    <r>
      <rPr>
        <sz val="10"/>
        <color theme="1"/>
        <rFont val="Verdana"/>
        <family val="2"/>
      </rPr>
      <t xml:space="preserve"> * F</t>
    </r>
    <r>
      <rPr>
        <sz val="8"/>
        <color theme="1"/>
        <rFont val="Verdana"/>
        <family val="2"/>
      </rPr>
      <t>product</t>
    </r>
    <r>
      <rPr>
        <sz val="10"/>
        <color theme="1"/>
        <rFont val="Verdana"/>
        <family val="2"/>
      </rPr>
      <t xml:space="preserve"> * Q</t>
    </r>
    <r>
      <rPr>
        <sz val="8"/>
        <color theme="1"/>
        <rFont val="Verdana"/>
        <family val="2"/>
      </rPr>
      <t>product</t>
    </r>
    <r>
      <rPr>
        <sz val="10"/>
        <color theme="1"/>
        <rFont val="Verdana"/>
        <family val="2"/>
      </rPr>
      <t xml:space="preserve"> * C</t>
    </r>
    <r>
      <rPr>
        <sz val="8"/>
        <color theme="1"/>
        <rFont val="Verdana"/>
        <family val="2"/>
      </rPr>
      <t>substance</t>
    </r>
    <r>
      <rPr>
        <sz val="10"/>
        <color theme="1"/>
        <rFont val="Verdana"/>
        <family val="2"/>
      </rPr>
      <t xml:space="preserve"> * F</t>
    </r>
    <r>
      <rPr>
        <sz val="8"/>
        <color theme="1"/>
        <rFont val="Verdana"/>
        <family val="2"/>
      </rPr>
      <t>residual liquor</t>
    </r>
    <r>
      <rPr>
        <sz val="10"/>
        <color theme="1"/>
        <rFont val="Verdana"/>
        <family val="2"/>
      </rPr>
      <t xml:space="preserve"> * F</t>
    </r>
    <r>
      <rPr>
        <sz val="8"/>
        <color theme="1"/>
        <rFont val="Verdana"/>
        <family val="2"/>
      </rPr>
      <t>penetr</t>
    </r>
    <r>
      <rPr>
        <sz val="10"/>
        <color theme="1"/>
        <rFont val="Verdana"/>
        <family val="2"/>
      </rPr>
      <t>}</t>
    </r>
  </si>
  <si>
    <t>Total = sum of pre-treatment, exhaust process and padding processes</t>
  </si>
  <si>
    <r>
      <t>Elocal</t>
    </r>
    <r>
      <rPr>
        <sz val="8"/>
        <color theme="1"/>
        <rFont val="Verdana"/>
        <family val="2"/>
      </rPr>
      <t>water total</t>
    </r>
  </si>
  <si>
    <r>
      <t>Elocal</t>
    </r>
    <r>
      <rPr>
        <b/>
        <sz val="8"/>
        <color theme="1"/>
        <rFont val="Verdana"/>
        <family val="2"/>
      </rPr>
      <t>water total</t>
    </r>
    <r>
      <rPr>
        <b/>
        <sz val="10"/>
        <color theme="1"/>
        <rFont val="Verdana"/>
        <family val="2"/>
      </rPr>
      <t xml:space="preserve"> </t>
    </r>
    <r>
      <rPr>
        <sz val="10"/>
        <color theme="1"/>
        <rFont val="Verdana"/>
        <family val="2"/>
      </rPr>
      <t>= Sum of the above</t>
    </r>
  </si>
  <si>
    <r>
      <t>2. Enter the fraction of the active substance in the formulation (=end-product) (Fchem</t>
    </r>
    <r>
      <rPr>
        <sz val="8"/>
        <rFont val="Verdana"/>
        <family val="2"/>
      </rPr>
      <t>form</t>
    </r>
    <r>
      <rPr>
        <sz val="10"/>
        <rFont val="Verdana"/>
        <family val="2"/>
      </rPr>
      <t>) to calculate TONNAGEreg</t>
    </r>
    <r>
      <rPr>
        <sz val="8"/>
        <rFont val="Verdana"/>
        <family val="2"/>
      </rPr>
      <t>form</t>
    </r>
    <r>
      <rPr>
        <sz val="10"/>
        <rFont val="Verdana"/>
        <family val="2"/>
      </rPr>
      <t xml:space="preserve"> (this is used to estimate F</t>
    </r>
    <r>
      <rPr>
        <sz val="8"/>
        <rFont val="Verdana"/>
        <family val="2"/>
      </rPr>
      <t>mainsource</t>
    </r>
    <r>
      <rPr>
        <sz val="10"/>
        <rFont val="Verdana"/>
        <family val="2"/>
      </rPr>
      <t>, T</t>
    </r>
    <r>
      <rPr>
        <sz val="8"/>
        <rFont val="Verdana"/>
        <family val="2"/>
      </rPr>
      <t xml:space="preserve">emission </t>
    </r>
    <r>
      <rPr>
        <sz val="10"/>
        <rFont val="Verdana"/>
        <family val="2"/>
      </rPr>
      <t>and F</t>
    </r>
    <r>
      <rPr>
        <sz val="8"/>
        <rFont val="Verdana"/>
        <family val="2"/>
      </rPr>
      <t>water</t>
    </r>
    <r>
      <rPr>
        <sz val="10"/>
        <rFont val="Verdana"/>
        <family val="2"/>
      </rPr>
      <t>).</t>
    </r>
  </si>
  <si>
    <t>2. Local emissions to water are automatically calculated.</t>
  </si>
  <si>
    <r>
      <t>1. In the Input table enter C</t>
    </r>
    <r>
      <rPr>
        <sz val="8"/>
        <rFont val="Verdana"/>
        <family val="2"/>
      </rPr>
      <t xml:space="preserve">substance </t>
    </r>
    <r>
      <rPr>
        <sz val="10"/>
        <rFont val="Verdana"/>
        <family val="2"/>
      </rPr>
      <t>value.</t>
    </r>
  </si>
  <si>
    <t>Pick list: ESD PT 6, Table 28, p.61</t>
  </si>
  <si>
    <t>Spreadsheet "PT6 - leather"</t>
  </si>
  <si>
    <t>&lt; 10 t/yr (non-HPVC)</t>
  </si>
  <si>
    <r>
      <t>0.4*f</t>
    </r>
    <r>
      <rPr>
        <sz val="8"/>
        <color theme="1"/>
        <rFont val="Verdana"/>
        <family val="2"/>
      </rPr>
      <t>mainsource</t>
    </r>
    <r>
      <rPr>
        <sz val="10"/>
        <color theme="1"/>
        <rFont val="Verdana"/>
        <family val="2"/>
      </rPr>
      <t>*TONNAGEreg</t>
    </r>
    <r>
      <rPr>
        <sz val="8"/>
        <color theme="1"/>
        <rFont val="Verdana"/>
        <family val="2"/>
      </rPr>
      <t>form</t>
    </r>
  </si>
  <si>
    <r>
      <t>0.2*f</t>
    </r>
    <r>
      <rPr>
        <sz val="8"/>
        <color theme="1"/>
        <rFont val="Verdana"/>
        <family val="2"/>
      </rPr>
      <t>mainsource</t>
    </r>
    <r>
      <rPr>
        <sz val="10"/>
        <color theme="1"/>
        <rFont val="Verdana"/>
        <family val="2"/>
      </rPr>
      <t>*TONNAGEreg</t>
    </r>
    <r>
      <rPr>
        <sz val="8"/>
        <color theme="1"/>
        <rFont val="Verdana"/>
        <family val="2"/>
      </rPr>
      <t>form</t>
    </r>
  </si>
  <si>
    <t>&lt; 100000 t/yr (HPVC, UC 6, 9, 10 or 31)</t>
  </si>
  <si>
    <t>&lt; 3500 t/yr (HPVC, UC other than 6, 9, 10 and 31)</t>
  </si>
  <si>
    <t>Select tonnage range (and option HPVC / non-HPVC, UC 6, 9, 10, or 31 / UC other than 6, 9, 10, and 31)</t>
  </si>
  <si>
    <t>Select tonnage range (and option HPVC / non-HPVC, UC 10 or 45 / UC other than 10 and 45)</t>
  </si>
  <si>
    <t>-Two life cycle stages have to be considered: formulation of the preserved product (tonnage based) and application (tonnage and consumption based).</t>
  </si>
  <si>
    <t>4. The emission rate to wastewater will be calculated.</t>
  </si>
  <si>
    <t>Add treatment step 1</t>
  </si>
  <si>
    <t>Select treatment step</t>
  </si>
  <si>
    <t>Add treatment step 2</t>
  </si>
  <si>
    <t>Add treatment step 3</t>
  </si>
  <si>
    <t>Add treatment step 4</t>
  </si>
  <si>
    <t>Treatment step 1</t>
  </si>
  <si>
    <r>
      <t>Elocal</t>
    </r>
    <r>
      <rPr>
        <vertAlign val="subscript"/>
        <sz val="10"/>
        <color theme="1"/>
        <rFont val="Verdana"/>
        <family val="2"/>
      </rPr>
      <t>1,water</t>
    </r>
  </si>
  <si>
    <t>Treatment step 2</t>
  </si>
  <si>
    <r>
      <t>Elocal</t>
    </r>
    <r>
      <rPr>
        <vertAlign val="subscript"/>
        <sz val="10"/>
        <color theme="1"/>
        <rFont val="Verdana"/>
        <family val="2"/>
      </rPr>
      <t>2,water</t>
    </r>
  </si>
  <si>
    <t>Treatment step 3</t>
  </si>
  <si>
    <r>
      <t>Elocal</t>
    </r>
    <r>
      <rPr>
        <vertAlign val="subscript"/>
        <sz val="10"/>
        <color theme="1"/>
        <rFont val="Verdana"/>
        <family val="2"/>
      </rPr>
      <t>3,water</t>
    </r>
  </si>
  <si>
    <t>Treatment step 4</t>
  </si>
  <si>
    <r>
      <t>Elocal</t>
    </r>
    <r>
      <rPr>
        <vertAlign val="subscript"/>
        <sz val="10"/>
        <color theme="1"/>
        <rFont val="Verdana"/>
        <family val="2"/>
      </rPr>
      <t>4,water</t>
    </r>
  </si>
  <si>
    <t>Total local emission of active substance</t>
  </si>
  <si>
    <r>
      <t>Elocal</t>
    </r>
    <r>
      <rPr>
        <vertAlign val="subscript"/>
        <sz val="10"/>
        <color theme="1"/>
        <rFont val="Verdana"/>
        <family val="2"/>
      </rPr>
      <t>tot,water</t>
    </r>
  </si>
  <si>
    <t>&lt; 10 t/yr</t>
  </si>
  <si>
    <t>Solubility (mg/L)</t>
  </si>
  <si>
    <t>Emission factor</t>
  </si>
  <si>
    <t>Release fraction to water</t>
  </si>
  <si>
    <t>Select solubility</t>
  </si>
  <si>
    <t>Solubility &lt; 100 mg/l</t>
  </si>
  <si>
    <r>
      <rPr>
        <b/>
        <sz val="10"/>
        <color theme="1"/>
        <rFont val="Verdana"/>
        <family val="2"/>
      </rPr>
      <t>Elocal</t>
    </r>
    <r>
      <rPr>
        <b/>
        <sz val="8"/>
        <color theme="1"/>
        <rFont val="Verdana"/>
        <family val="2"/>
      </rPr>
      <t>water</t>
    </r>
    <r>
      <rPr>
        <b/>
        <sz val="10"/>
        <color theme="1"/>
        <rFont val="Verdana"/>
        <family val="2"/>
      </rPr>
      <t xml:space="preserve"> </t>
    </r>
    <r>
      <rPr>
        <sz val="10"/>
        <color theme="1"/>
        <rFont val="Verdana"/>
        <family val="2"/>
      </rPr>
      <t>= F</t>
    </r>
    <r>
      <rPr>
        <sz val="8"/>
        <color theme="1"/>
        <rFont val="Verdana"/>
        <family val="2"/>
      </rPr>
      <t>mainsource</t>
    </r>
    <r>
      <rPr>
        <sz val="10"/>
        <color theme="1"/>
        <rFont val="Verdana"/>
        <family val="2"/>
      </rPr>
      <t xml:space="preserve"> * (1000/T</t>
    </r>
    <r>
      <rPr>
        <sz val="8"/>
        <color theme="1"/>
        <rFont val="Verdana"/>
        <family val="2"/>
      </rPr>
      <t>emission</t>
    </r>
    <r>
      <rPr>
        <sz val="10"/>
        <color theme="1"/>
        <rFont val="Verdana"/>
        <family val="2"/>
      </rPr>
      <t>) * RELEASE</t>
    </r>
    <r>
      <rPr>
        <sz val="8"/>
        <color theme="1"/>
        <rFont val="Verdana"/>
        <family val="2"/>
      </rPr>
      <t>water</t>
    </r>
  </si>
  <si>
    <t>Local emission to wastewater during episode</t>
  </si>
  <si>
    <r>
      <rPr>
        <b/>
        <sz val="10"/>
        <color theme="1"/>
        <rFont val="Verdana"/>
        <family val="2"/>
      </rPr>
      <t>E</t>
    </r>
    <r>
      <rPr>
        <b/>
        <sz val="8"/>
        <color theme="1"/>
        <rFont val="Verdana"/>
        <family val="2"/>
      </rPr>
      <t>init_coat, air</t>
    </r>
    <r>
      <rPr>
        <b/>
        <sz val="10"/>
        <color theme="1"/>
        <rFont val="Verdana"/>
        <family val="2"/>
      </rPr>
      <t xml:space="preserve"> </t>
    </r>
    <r>
      <rPr>
        <sz val="10"/>
        <color theme="1"/>
        <rFont val="Verdana"/>
        <family val="2"/>
      </rPr>
      <t>= Q</t>
    </r>
    <r>
      <rPr>
        <sz val="8"/>
        <color theme="1"/>
        <rFont val="Verdana"/>
        <family val="2"/>
      </rPr>
      <t>init_coat_ann</t>
    </r>
    <r>
      <rPr>
        <sz val="10"/>
        <color theme="1"/>
        <rFont val="Verdana"/>
        <family val="2"/>
      </rPr>
      <t xml:space="preserve"> * 1000 * F</t>
    </r>
    <r>
      <rPr>
        <sz val="8"/>
        <color theme="1"/>
        <rFont val="Verdana"/>
        <family val="2"/>
      </rPr>
      <t>reg</t>
    </r>
    <r>
      <rPr>
        <sz val="10"/>
        <color theme="1"/>
        <rFont val="Verdana"/>
        <family val="2"/>
      </rPr>
      <t xml:space="preserve"> * Q</t>
    </r>
    <r>
      <rPr>
        <sz val="8"/>
        <color theme="1"/>
        <rFont val="Verdana"/>
        <family val="2"/>
      </rPr>
      <t>subst_in_coat</t>
    </r>
    <r>
      <rPr>
        <sz val="10"/>
        <color theme="1"/>
        <rFont val="Verdana"/>
        <family val="2"/>
      </rPr>
      <t xml:space="preserve"> * (F</t>
    </r>
    <r>
      <rPr>
        <sz val="8"/>
        <color theme="1"/>
        <rFont val="Verdana"/>
        <family val="2"/>
      </rPr>
      <t>init_coat,direct_loss,air</t>
    </r>
    <r>
      <rPr>
        <sz val="10"/>
        <color theme="1"/>
        <rFont val="Verdana"/>
        <family val="2"/>
      </rPr>
      <t>/100) * F</t>
    </r>
    <r>
      <rPr>
        <sz val="8"/>
        <color theme="1"/>
        <rFont val="Verdana"/>
        <family val="2"/>
      </rPr>
      <t>mainsource</t>
    </r>
    <r>
      <rPr>
        <sz val="10"/>
        <color theme="1"/>
        <rFont val="Verdana"/>
        <family val="2"/>
      </rPr>
      <t>/T</t>
    </r>
    <r>
      <rPr>
        <sz val="8"/>
        <color theme="1"/>
        <rFont val="Verdana"/>
        <family val="2"/>
      </rPr>
      <t>emission</t>
    </r>
  </si>
  <si>
    <r>
      <rPr>
        <b/>
        <sz val="10"/>
        <color theme="1"/>
        <rFont val="Verdana"/>
        <family val="2"/>
      </rPr>
      <t>E</t>
    </r>
    <r>
      <rPr>
        <b/>
        <sz val="8"/>
        <color theme="1"/>
        <rFont val="Verdana"/>
        <family val="2"/>
      </rPr>
      <t>init_coat, water</t>
    </r>
    <r>
      <rPr>
        <b/>
        <sz val="10"/>
        <color theme="1"/>
        <rFont val="Verdana"/>
        <family val="2"/>
      </rPr>
      <t xml:space="preserve"> </t>
    </r>
    <r>
      <rPr>
        <sz val="10"/>
        <color theme="1"/>
        <rFont val="Verdana"/>
        <family val="2"/>
      </rPr>
      <t>= Q</t>
    </r>
    <r>
      <rPr>
        <sz val="8"/>
        <color theme="1"/>
        <rFont val="Verdana"/>
        <family val="2"/>
      </rPr>
      <t>init_coat_ann</t>
    </r>
    <r>
      <rPr>
        <sz val="10"/>
        <color theme="1"/>
        <rFont val="Verdana"/>
        <family val="2"/>
      </rPr>
      <t xml:space="preserve"> * 1000 * F</t>
    </r>
    <r>
      <rPr>
        <sz val="8"/>
        <color theme="1"/>
        <rFont val="Verdana"/>
        <family val="2"/>
      </rPr>
      <t>reg</t>
    </r>
    <r>
      <rPr>
        <sz val="10"/>
        <color theme="1"/>
        <rFont val="Verdana"/>
        <family val="2"/>
      </rPr>
      <t xml:space="preserve"> * Q</t>
    </r>
    <r>
      <rPr>
        <sz val="8"/>
        <color theme="1"/>
        <rFont val="Verdana"/>
        <family val="2"/>
      </rPr>
      <t>subst_in_coat</t>
    </r>
    <r>
      <rPr>
        <sz val="10"/>
        <color theme="1"/>
        <rFont val="Verdana"/>
        <family val="2"/>
      </rPr>
      <t xml:space="preserve"> * (F</t>
    </r>
    <r>
      <rPr>
        <sz val="8"/>
        <color theme="1"/>
        <rFont val="Verdana"/>
        <family val="2"/>
      </rPr>
      <t>init_coat,brush_resid,water</t>
    </r>
    <r>
      <rPr>
        <sz val="10"/>
        <color theme="1"/>
        <rFont val="Verdana"/>
        <family val="2"/>
      </rPr>
      <t>/100) * F</t>
    </r>
    <r>
      <rPr>
        <sz val="8"/>
        <color theme="1"/>
        <rFont val="Verdana"/>
        <family val="2"/>
      </rPr>
      <t>mainsource</t>
    </r>
    <r>
      <rPr>
        <sz val="10"/>
        <color theme="1"/>
        <rFont val="Verdana"/>
        <family val="2"/>
      </rPr>
      <t>/T</t>
    </r>
    <r>
      <rPr>
        <sz val="8"/>
        <color theme="1"/>
        <rFont val="Verdana"/>
        <family val="2"/>
      </rPr>
      <t>emission</t>
    </r>
  </si>
  <si>
    <t xml:space="preserve">Quantity of processed raw hide per day </t>
  </si>
  <si>
    <r>
      <t>Q</t>
    </r>
    <r>
      <rPr>
        <sz val="8"/>
        <color theme="1"/>
        <rFont val="Verdana"/>
        <family val="2"/>
      </rPr>
      <t>rawhide</t>
    </r>
  </si>
  <si>
    <t>t/year</t>
  </si>
  <si>
    <t>Beam house</t>
  </si>
  <si>
    <t>Tanning</t>
  </si>
  <si>
    <t>Post-tanning</t>
  </si>
  <si>
    <t>Finishing</t>
  </si>
  <si>
    <t xml:space="preserve">Treatment step </t>
  </si>
  <si>
    <t>Factor of remaining mass of rawhide</t>
  </si>
  <si>
    <t>Raw hide</t>
  </si>
  <si>
    <t>Shaved pelt</t>
  </si>
  <si>
    <t>Crust leather</t>
  </si>
  <si>
    <t>Pelt</t>
  </si>
  <si>
    <r>
      <t>F</t>
    </r>
    <r>
      <rPr>
        <sz val="8"/>
        <color theme="1"/>
        <rFont val="Verdana"/>
        <family val="2"/>
      </rPr>
      <t>remaining mass</t>
    </r>
  </si>
  <si>
    <t xml:space="preserve">Mass of chemical formulation used per mass </t>
  </si>
  <si>
    <r>
      <t>Q</t>
    </r>
    <r>
      <rPr>
        <sz val="8"/>
        <color theme="1"/>
        <rFont val="Verdana"/>
        <family val="2"/>
      </rPr>
      <t>chemical formulation</t>
    </r>
  </si>
  <si>
    <t>Fraction of active substance in formulation</t>
  </si>
  <si>
    <t>Degree of fixation - proportion of the substance chemically converted or fixed to the hide during processing</t>
  </si>
  <si>
    <t>Fraction of the daily production that is treated with the specific chemical</t>
  </si>
  <si>
    <r>
      <t>F</t>
    </r>
    <r>
      <rPr>
        <sz val="8"/>
        <color theme="1"/>
        <rFont val="Verdana"/>
        <family val="2"/>
      </rPr>
      <t>daily production</t>
    </r>
  </si>
  <si>
    <r>
      <t>For dyes, the default F</t>
    </r>
    <r>
      <rPr>
        <sz val="8"/>
        <color theme="1"/>
        <rFont val="Verdana"/>
        <family val="2"/>
      </rPr>
      <t>daily production</t>
    </r>
    <r>
      <rPr>
        <sz val="10"/>
        <color theme="1"/>
        <rFont val="Verdana"/>
        <family val="2"/>
      </rPr>
      <t xml:space="preserve"> is 0.5. For other chemicals than dyes this fraction should be taken as default value of 1.</t>
    </r>
  </si>
  <si>
    <t>Fraction of chemical eliminated by on-site waste water treatment before discharge to a municipal sewage treatment plant</t>
  </si>
  <si>
    <t>In generic calculations this fraction is set to 0. Leather manufacturers may apply on-site knowledge and introduce a site-specific fraction for elimination of chemical on-site sewage treatment.</t>
  </si>
  <si>
    <t>Local emission of active substance to wastewater per day for each treatment step specified above</t>
  </si>
  <si>
    <t>Select the type of leather</t>
  </si>
  <si>
    <t>Factor of remaining mass of rawhide at this step</t>
  </si>
  <si>
    <r>
      <rPr>
        <b/>
        <sz val="10"/>
        <color theme="1"/>
        <rFont val="Verdana"/>
        <family val="2"/>
      </rPr>
      <t>Elocal</t>
    </r>
    <r>
      <rPr>
        <b/>
        <vertAlign val="subscript"/>
        <sz val="10"/>
        <color theme="1"/>
        <rFont val="Verdana"/>
        <family val="2"/>
      </rPr>
      <t>tot,water</t>
    </r>
    <r>
      <rPr>
        <vertAlign val="subscript"/>
        <sz val="10"/>
        <color theme="1"/>
        <rFont val="Verdana"/>
        <family val="2"/>
      </rPr>
      <t xml:space="preserve"> </t>
    </r>
    <r>
      <rPr>
        <sz val="10"/>
        <color theme="1"/>
        <rFont val="Verdana"/>
        <family val="2"/>
      </rPr>
      <t>= F</t>
    </r>
    <r>
      <rPr>
        <sz val="8"/>
        <color theme="1"/>
        <rFont val="Verdana"/>
        <family val="2"/>
      </rPr>
      <t>pen</t>
    </r>
    <r>
      <rPr>
        <sz val="10"/>
        <color theme="1"/>
        <rFont val="Verdana"/>
        <family val="2"/>
      </rPr>
      <t xml:space="preserve"> * ∑ Elocal</t>
    </r>
    <r>
      <rPr>
        <vertAlign val="subscript"/>
        <sz val="10"/>
        <color theme="1"/>
        <rFont val="Verdana"/>
        <family val="2"/>
      </rPr>
      <t>x,water</t>
    </r>
  </si>
  <si>
    <t>- Formulation of the end-product is the only life cycle stage that needs to be considered.</t>
  </si>
  <si>
    <t>Emission estimation for the formulation process of fuels (ESD § 3.5.4.1)</t>
  </si>
  <si>
    <t>Spreadsheet "PT6 - fuels"</t>
  </si>
  <si>
    <t>Select tonnage range (and option HPVC / non-HPVC, UC 27, 28, others)</t>
  </si>
  <si>
    <t>&lt; 1000 t/yr (non-HPVC, UC 27)</t>
  </si>
  <si>
    <t>&lt; 5 t/yr (non-HPVC, UC 28 + others)</t>
  </si>
  <si>
    <t>2) The market penetration factor could be lowered, if the applicant provides reliable data, which shows that a reduction is justified. For disinfectants used in private households a market share of 0.5 is used as "best guess".</t>
  </si>
  <si>
    <t>3) The market penetration factor could be lowered, if the applicant provides reliable data, which shows that a reduction is justified. For disinfectants used in private households a market share of 0.5 is proposed as default value in the ESD PT 2 (2011).</t>
  </si>
  <si>
    <r>
      <rPr>
        <b/>
        <sz val="10"/>
        <color theme="1"/>
        <rFont val="Verdana"/>
        <family val="2"/>
      </rPr>
      <t>Elocal</t>
    </r>
    <r>
      <rPr>
        <b/>
        <sz val="8"/>
        <color theme="1"/>
        <rFont val="Verdana"/>
        <family val="2"/>
      </rPr>
      <t>water</t>
    </r>
    <r>
      <rPr>
        <b/>
        <sz val="10"/>
        <color theme="1"/>
        <rFont val="Verdana"/>
        <family val="2"/>
      </rPr>
      <t xml:space="preserve"> </t>
    </r>
    <r>
      <rPr>
        <sz val="10"/>
        <color theme="1"/>
        <rFont val="Verdana"/>
        <family val="2"/>
      </rPr>
      <t>= TONNAGE</t>
    </r>
    <r>
      <rPr>
        <sz val="8"/>
        <color theme="1"/>
        <rFont val="Verdana"/>
        <family val="2"/>
      </rPr>
      <t>reg</t>
    </r>
    <r>
      <rPr>
        <sz val="10"/>
        <color theme="1"/>
        <rFont val="Verdana"/>
        <family val="2"/>
      </rPr>
      <t xml:space="preserve"> * 10</t>
    </r>
    <r>
      <rPr>
        <vertAlign val="superscript"/>
        <sz val="10"/>
        <color theme="1"/>
        <rFont val="Verdana"/>
        <family val="2"/>
      </rPr>
      <t>3</t>
    </r>
    <r>
      <rPr>
        <sz val="10"/>
        <color theme="1"/>
        <rFont val="Verdana"/>
        <family val="2"/>
      </rPr>
      <t xml:space="preserve"> * F</t>
    </r>
    <r>
      <rPr>
        <sz val="8"/>
        <color theme="1"/>
        <rFont val="Verdana"/>
        <family val="2"/>
      </rPr>
      <t>mainsource</t>
    </r>
    <r>
      <rPr>
        <sz val="10"/>
        <color theme="1"/>
        <rFont val="Verdana"/>
        <family val="2"/>
      </rPr>
      <t xml:space="preserve"> * F</t>
    </r>
    <r>
      <rPr>
        <sz val="8"/>
        <color theme="1"/>
        <rFont val="Verdana"/>
        <family val="2"/>
      </rPr>
      <t>water refined</t>
    </r>
    <r>
      <rPr>
        <sz val="10"/>
        <color theme="1"/>
        <rFont val="Verdana"/>
        <family val="2"/>
      </rPr>
      <t xml:space="preserve"> / T</t>
    </r>
    <r>
      <rPr>
        <sz val="8"/>
        <color theme="1"/>
        <rFont val="Verdana"/>
        <family val="2"/>
      </rPr>
      <t>emission</t>
    </r>
  </si>
  <si>
    <r>
      <rPr>
        <b/>
        <sz val="10"/>
        <color theme="1"/>
        <rFont val="Verdana"/>
        <family val="2"/>
      </rPr>
      <t>Elocal</t>
    </r>
    <r>
      <rPr>
        <b/>
        <sz val="8"/>
        <color theme="1"/>
        <rFont val="Verdana"/>
        <family val="2"/>
      </rPr>
      <t>water</t>
    </r>
    <r>
      <rPr>
        <b/>
        <sz val="10"/>
        <color theme="1"/>
        <rFont val="Verdana"/>
        <family val="2"/>
      </rPr>
      <t xml:space="preserve"> </t>
    </r>
    <r>
      <rPr>
        <sz val="10"/>
        <color theme="1"/>
        <rFont val="Verdana"/>
        <family val="2"/>
      </rPr>
      <t>= TONNAGE</t>
    </r>
    <r>
      <rPr>
        <sz val="8"/>
        <color theme="1"/>
        <rFont val="Verdana"/>
        <family val="2"/>
      </rPr>
      <t>reg</t>
    </r>
    <r>
      <rPr>
        <sz val="10"/>
        <color theme="1"/>
        <rFont val="Verdana"/>
        <family val="2"/>
      </rPr>
      <t>*10</t>
    </r>
    <r>
      <rPr>
        <vertAlign val="superscript"/>
        <sz val="10"/>
        <color theme="1"/>
        <rFont val="Verdana"/>
        <family val="2"/>
      </rPr>
      <t>3</t>
    </r>
    <r>
      <rPr>
        <sz val="10"/>
        <color theme="1"/>
        <rFont val="Verdana"/>
        <family val="2"/>
      </rPr>
      <t>*F</t>
    </r>
    <r>
      <rPr>
        <sz val="8"/>
        <color theme="1"/>
        <rFont val="Verdana"/>
        <family val="2"/>
      </rPr>
      <t>mainsource</t>
    </r>
    <r>
      <rPr>
        <sz val="10"/>
        <color theme="1"/>
        <rFont val="Verdana"/>
        <family val="2"/>
      </rPr>
      <t>*F</t>
    </r>
    <r>
      <rPr>
        <sz val="8"/>
        <color theme="1"/>
        <rFont val="Verdana"/>
        <family val="2"/>
      </rPr>
      <t>water refined</t>
    </r>
    <r>
      <rPr>
        <sz val="10"/>
        <color theme="1"/>
        <rFont val="Verdana"/>
        <family val="2"/>
      </rPr>
      <t xml:space="preserve"> / T</t>
    </r>
    <r>
      <rPr>
        <sz val="8"/>
        <color theme="1"/>
        <rFont val="Verdana"/>
        <family val="2"/>
      </rPr>
      <t>emission</t>
    </r>
  </si>
  <si>
    <r>
      <rPr>
        <b/>
        <sz val="10"/>
        <color theme="1"/>
        <rFont val="Verdana"/>
        <family val="2"/>
      </rPr>
      <t>Elocal</t>
    </r>
    <r>
      <rPr>
        <b/>
        <sz val="8"/>
        <color theme="1"/>
        <rFont val="Verdana"/>
        <family val="2"/>
      </rPr>
      <t>air</t>
    </r>
    <r>
      <rPr>
        <b/>
        <sz val="10"/>
        <color theme="1"/>
        <rFont val="Verdana"/>
        <family val="2"/>
      </rPr>
      <t xml:space="preserve"> </t>
    </r>
    <r>
      <rPr>
        <sz val="10"/>
        <color theme="1"/>
        <rFont val="Verdana"/>
        <family val="2"/>
      </rPr>
      <t>= TONNAGE</t>
    </r>
    <r>
      <rPr>
        <sz val="8"/>
        <color theme="1"/>
        <rFont val="Verdana"/>
        <family val="2"/>
      </rPr>
      <t>reg</t>
    </r>
    <r>
      <rPr>
        <sz val="10"/>
        <color theme="1"/>
        <rFont val="Verdana"/>
        <family val="2"/>
      </rPr>
      <t>*10</t>
    </r>
    <r>
      <rPr>
        <vertAlign val="superscript"/>
        <sz val="10"/>
        <color theme="1"/>
        <rFont val="Verdana"/>
        <family val="2"/>
      </rPr>
      <t>3</t>
    </r>
    <r>
      <rPr>
        <sz val="10"/>
        <color theme="1"/>
        <rFont val="Verdana"/>
        <family val="2"/>
      </rPr>
      <t>*F</t>
    </r>
    <r>
      <rPr>
        <sz val="8"/>
        <color theme="1"/>
        <rFont val="Verdana"/>
        <family val="2"/>
      </rPr>
      <t>mainsource</t>
    </r>
    <r>
      <rPr>
        <sz val="10"/>
        <color theme="1"/>
        <rFont val="Verdana"/>
        <family val="2"/>
      </rPr>
      <t>*F</t>
    </r>
    <r>
      <rPr>
        <sz val="8"/>
        <color theme="1"/>
        <rFont val="Verdana"/>
        <family val="2"/>
      </rPr>
      <t>air refined</t>
    </r>
    <r>
      <rPr>
        <sz val="10"/>
        <color theme="1"/>
        <rFont val="Verdana"/>
        <family val="2"/>
      </rPr>
      <t xml:space="preserve"> / T</t>
    </r>
    <r>
      <rPr>
        <sz val="8"/>
        <color theme="1"/>
        <rFont val="Verdana"/>
        <family val="2"/>
      </rPr>
      <t>emission</t>
    </r>
  </si>
  <si>
    <r>
      <rPr>
        <b/>
        <sz val="10"/>
        <color theme="1"/>
        <rFont val="Verdana"/>
        <family val="2"/>
      </rPr>
      <t>Elocal</t>
    </r>
    <r>
      <rPr>
        <b/>
        <sz val="8"/>
        <color theme="1"/>
        <rFont val="Verdana"/>
        <family val="2"/>
      </rPr>
      <t>soil</t>
    </r>
    <r>
      <rPr>
        <b/>
        <sz val="10"/>
        <color theme="1"/>
        <rFont val="Verdana"/>
        <family val="2"/>
      </rPr>
      <t xml:space="preserve"> </t>
    </r>
    <r>
      <rPr>
        <sz val="10"/>
        <color theme="1"/>
        <rFont val="Verdana"/>
        <family val="2"/>
      </rPr>
      <t>= TONNAGE</t>
    </r>
    <r>
      <rPr>
        <sz val="8"/>
        <color theme="1"/>
        <rFont val="Verdana"/>
        <family val="2"/>
      </rPr>
      <t>reg</t>
    </r>
    <r>
      <rPr>
        <sz val="10"/>
        <color theme="1"/>
        <rFont val="Verdana"/>
        <family val="2"/>
      </rPr>
      <t>*10</t>
    </r>
    <r>
      <rPr>
        <vertAlign val="superscript"/>
        <sz val="10"/>
        <color theme="1"/>
        <rFont val="Verdana"/>
        <family val="2"/>
      </rPr>
      <t>3</t>
    </r>
    <r>
      <rPr>
        <sz val="10"/>
        <color theme="1"/>
        <rFont val="Verdana"/>
        <family val="2"/>
      </rPr>
      <t>*F</t>
    </r>
    <r>
      <rPr>
        <sz val="8"/>
        <color theme="1"/>
        <rFont val="Verdana"/>
        <family val="2"/>
      </rPr>
      <t>mainsource</t>
    </r>
    <r>
      <rPr>
        <sz val="10"/>
        <color theme="1"/>
        <rFont val="Verdana"/>
        <family val="2"/>
      </rPr>
      <t>*F</t>
    </r>
    <r>
      <rPr>
        <sz val="8"/>
        <color theme="1"/>
        <rFont val="Verdana"/>
        <family val="2"/>
      </rPr>
      <t>soil refined</t>
    </r>
    <r>
      <rPr>
        <sz val="10"/>
        <color theme="1"/>
        <rFont val="Verdana"/>
        <family val="2"/>
      </rPr>
      <t xml:space="preserve"> / T</t>
    </r>
    <r>
      <rPr>
        <sz val="8"/>
        <color theme="1"/>
        <rFont val="Verdana"/>
        <family val="2"/>
      </rPr>
      <t>emission</t>
    </r>
  </si>
  <si>
    <t>5. The emission rate to wastewater will be calculated.</t>
  </si>
  <si>
    <r>
      <t>4. If a refined F</t>
    </r>
    <r>
      <rPr>
        <sz val="8"/>
        <rFont val="Verdana"/>
        <family val="2"/>
      </rPr>
      <t>water</t>
    </r>
    <r>
      <rPr>
        <sz val="10"/>
        <rFont val="Verdana"/>
        <family val="2"/>
      </rPr>
      <t xml:space="preserve"> is available enter it to calculate the refined emission rate to wastewater.</t>
    </r>
  </si>
  <si>
    <r>
      <t>5. If a refined F</t>
    </r>
    <r>
      <rPr>
        <sz val="8"/>
        <rFont val="Verdana"/>
        <family val="2"/>
      </rPr>
      <t>water</t>
    </r>
    <r>
      <rPr>
        <sz val="10"/>
        <rFont val="Verdana"/>
        <family val="2"/>
      </rPr>
      <t xml:space="preserve"> is available enter it to calculate the refined emission rate to wastewater.</t>
    </r>
  </si>
  <si>
    <r>
      <t>5. If refined F</t>
    </r>
    <r>
      <rPr>
        <sz val="8"/>
        <rFont val="Verdana"/>
        <family val="2"/>
      </rPr>
      <t>water</t>
    </r>
    <r>
      <rPr>
        <sz val="10"/>
        <rFont val="Verdana"/>
        <family val="2"/>
      </rPr>
      <t>, F</t>
    </r>
    <r>
      <rPr>
        <sz val="8"/>
        <rFont val="Verdana"/>
        <family val="2"/>
      </rPr>
      <t>air</t>
    </r>
    <r>
      <rPr>
        <sz val="10"/>
        <rFont val="Verdana"/>
        <family val="2"/>
      </rPr>
      <t xml:space="preserve"> and F</t>
    </r>
    <r>
      <rPr>
        <sz val="8"/>
        <rFont val="Verdana"/>
        <family val="2"/>
      </rPr>
      <t xml:space="preserve">soil </t>
    </r>
    <r>
      <rPr>
        <sz val="10"/>
        <rFont val="Verdana"/>
        <family val="2"/>
      </rPr>
      <t xml:space="preserve"> are available, enter them to calculate refined emission rates.</t>
    </r>
  </si>
  <si>
    <t>ESD PT 6, Table 6, p.27</t>
  </si>
  <si>
    <t>ESD PT 6, Table 8, p.29</t>
  </si>
  <si>
    <r>
      <t>TONNAGEreg</t>
    </r>
    <r>
      <rPr>
        <sz val="8"/>
        <color theme="1"/>
        <rFont val="Verdana"/>
        <family val="2"/>
      </rPr>
      <t>form</t>
    </r>
    <r>
      <rPr>
        <sz val="10"/>
        <color theme="1"/>
        <rFont val="Verdana"/>
        <family val="2"/>
      </rPr>
      <t xml:space="preserve"> is only used to estimate F</t>
    </r>
    <r>
      <rPr>
        <sz val="8"/>
        <color theme="1"/>
        <rFont val="Verdana"/>
        <family val="2"/>
      </rPr>
      <t>mainsource</t>
    </r>
    <r>
      <rPr>
        <sz val="10"/>
        <color theme="1"/>
        <rFont val="Verdana"/>
        <family val="2"/>
      </rPr>
      <t xml:space="preserve"> and T</t>
    </r>
    <r>
      <rPr>
        <sz val="8"/>
        <color theme="1"/>
        <rFont val="Verdana"/>
        <family val="2"/>
      </rPr>
      <t>emission</t>
    </r>
  </si>
  <si>
    <t>Pick list: ESD PT 6, Table 6, p.27</t>
  </si>
  <si>
    <t>Pick list: ESD PT 6, Table 5, p.27</t>
  </si>
  <si>
    <r>
      <t>2. Enter the fraction of the active substance in the formulation (=end-product) (Fchem</t>
    </r>
    <r>
      <rPr>
        <sz val="8"/>
        <rFont val="Verdana"/>
        <family val="2"/>
      </rPr>
      <t>form</t>
    </r>
    <r>
      <rPr>
        <sz val="10"/>
        <rFont val="Verdana"/>
        <family val="2"/>
      </rPr>
      <t>) to calculate TONNAGEreg</t>
    </r>
    <r>
      <rPr>
        <sz val="8"/>
        <rFont val="Verdana"/>
        <family val="2"/>
      </rPr>
      <t xml:space="preserve">form </t>
    </r>
    <r>
      <rPr>
        <sz val="10"/>
        <rFont val="Verdana"/>
        <family val="2"/>
      </rPr>
      <t>(this is used to estimate F</t>
    </r>
    <r>
      <rPr>
        <sz val="8"/>
        <rFont val="Verdana"/>
        <family val="2"/>
      </rPr>
      <t>mainsource</t>
    </r>
    <r>
      <rPr>
        <sz val="10"/>
        <rFont val="Verdana"/>
        <family val="2"/>
      </rPr>
      <t xml:space="preserve"> and T</t>
    </r>
    <r>
      <rPr>
        <sz val="8"/>
        <rFont val="Verdana"/>
        <family val="2"/>
      </rPr>
      <t>emission</t>
    </r>
    <r>
      <rPr>
        <sz val="10"/>
        <rFont val="Verdana"/>
        <family val="2"/>
      </rPr>
      <t>).</t>
    </r>
  </si>
  <si>
    <t>4) TAB</t>
  </si>
  <si>
    <t>Number of emission days (institutional areas)</t>
  </si>
  <si>
    <t>2.1 Emission scenario for calculating the release of preservatives applied in professional detergents used for laundry from hospitals in washing streets (ESD Table 9, p.31)</t>
  </si>
  <si>
    <t>2.2 Emission scenario for calculating the release of preservatives used in professional detergents for surface cleaning in industrial areas (ESD Table 10, p.31)</t>
  </si>
  <si>
    <t>3.1 Emission scenario for calculating the release of preservatives used in non-professional detergents for fabric washing (ESD Table 11, p.32)</t>
  </si>
  <si>
    <t>3.2 Emission scenario for calculating the release of preservatives used in non-professional detergents for dish washing (ESD Table 12, p.33)</t>
  </si>
  <si>
    <t>3.3 Emission scenario for calculating the release of preservatives used in detergents for sanitary purposes based on average consumption (Table 13, p.33)</t>
  </si>
  <si>
    <t>2) The market penetration factor could be lowered, if the applicant provides reliable data, which shows that a reduction is justified. For disinfectants used in private households a market share of 0.5 is proposed as default value in the ESD PT 2 (2011).</t>
  </si>
  <si>
    <r>
      <t>TONNAGEreg</t>
    </r>
    <r>
      <rPr>
        <sz val="8"/>
        <color theme="1"/>
        <rFont val="Verdana"/>
        <family val="2"/>
      </rPr>
      <t>form</t>
    </r>
    <r>
      <rPr>
        <sz val="10"/>
        <color theme="1"/>
        <rFont val="Verdana"/>
        <family val="2"/>
      </rPr>
      <t xml:space="preserve"> is only used to estimate F</t>
    </r>
    <r>
      <rPr>
        <sz val="8"/>
        <color theme="1"/>
        <rFont val="Verdana"/>
        <family val="2"/>
      </rPr>
      <t>mainsource,</t>
    </r>
    <r>
      <rPr>
        <sz val="10"/>
        <color theme="1"/>
        <rFont val="Verdana"/>
        <family val="2"/>
      </rPr>
      <t xml:space="preserve"> T</t>
    </r>
    <r>
      <rPr>
        <sz val="8"/>
        <color theme="1"/>
        <rFont val="Verdana"/>
        <family val="2"/>
      </rPr>
      <t xml:space="preserve">emission </t>
    </r>
    <r>
      <rPr>
        <sz val="10"/>
        <color theme="1"/>
        <rFont val="Verdana"/>
        <family val="2"/>
      </rPr>
      <t>and F</t>
    </r>
    <r>
      <rPr>
        <sz val="8"/>
        <color theme="1"/>
        <rFont val="Verdana"/>
        <family val="2"/>
      </rPr>
      <t>water</t>
    </r>
  </si>
  <si>
    <t>Pick list: ESD PT 6, Table 15, p.38</t>
  </si>
  <si>
    <r>
      <t>T</t>
    </r>
    <r>
      <rPr>
        <sz val="8"/>
        <color theme="1"/>
        <rFont val="Verdana"/>
        <family val="2"/>
      </rPr>
      <t>emission</t>
    </r>
    <r>
      <rPr>
        <sz val="10"/>
        <color theme="1"/>
        <rFont val="Verdana"/>
        <family val="2"/>
      </rPr>
      <t xml:space="preserve"> = 300 days for all Tonnage values (ESD PT 6, Table 15, p.38)</t>
    </r>
  </si>
  <si>
    <t>Pick list: ESD PT 6, Table 4, p.23</t>
  </si>
  <si>
    <t>ESD PT 6, Table 4, p.23</t>
  </si>
  <si>
    <t>ESD PT 6, Table 15, p.38</t>
  </si>
  <si>
    <r>
      <t>Fchem</t>
    </r>
    <r>
      <rPr>
        <sz val="8"/>
        <color theme="1"/>
        <rFont val="Verdana"/>
        <family val="2"/>
      </rPr>
      <t>form</t>
    </r>
    <r>
      <rPr>
        <sz val="10"/>
        <color theme="1"/>
        <rFont val="Verdana"/>
        <family val="2"/>
      </rPr>
      <t xml:space="preserve"> is only used to estimate TONNAGEreg</t>
    </r>
    <r>
      <rPr>
        <sz val="8"/>
        <color theme="1"/>
        <rFont val="Verdana"/>
        <family val="2"/>
      </rPr>
      <t>form</t>
    </r>
  </si>
  <si>
    <t>Emission estimates for general public use of decorative paints (ESD Table 16, p. 39)</t>
  </si>
  <si>
    <t>1. Emission scenario for calculating the releases from a façade treated by sprayer (ESD Table 17, p.41)</t>
  </si>
  <si>
    <t>Local emission of active substance during application (sprayer) to storm water</t>
  </si>
  <si>
    <r>
      <t>Elocal</t>
    </r>
    <r>
      <rPr>
        <sz val="8"/>
        <rFont val="Verdana"/>
        <family val="2"/>
      </rPr>
      <t>spray, façade, water</t>
    </r>
  </si>
  <si>
    <r>
      <rPr>
        <b/>
        <sz val="10"/>
        <rFont val="Verdana"/>
        <family val="2"/>
      </rPr>
      <t>Clocal</t>
    </r>
    <r>
      <rPr>
        <b/>
        <sz val="8"/>
        <rFont val="Verdana"/>
        <family val="2"/>
      </rPr>
      <t>soil, spray_drift_tier 1</t>
    </r>
    <r>
      <rPr>
        <sz val="10"/>
        <rFont val="Verdana"/>
        <family val="2"/>
      </rPr>
      <t xml:space="preserve"> = Elocal</t>
    </r>
    <r>
      <rPr>
        <sz val="8"/>
        <rFont val="Verdana"/>
        <family val="2"/>
      </rPr>
      <t>spray_drift, façade_tier 1</t>
    </r>
    <r>
      <rPr>
        <sz val="10"/>
        <rFont val="Verdana"/>
        <family val="2"/>
      </rPr>
      <t xml:space="preserve"> / (V</t>
    </r>
    <r>
      <rPr>
        <sz val="8"/>
        <rFont val="Verdana"/>
        <family val="2"/>
      </rPr>
      <t>soil, drift_tier 1</t>
    </r>
    <r>
      <rPr>
        <sz val="10"/>
        <rFont val="Verdana"/>
        <family val="2"/>
      </rPr>
      <t xml:space="preserve"> * RHO</t>
    </r>
    <r>
      <rPr>
        <sz val="8"/>
        <rFont val="Verdana"/>
        <family val="2"/>
      </rPr>
      <t>soil</t>
    </r>
    <r>
      <rPr>
        <sz val="10"/>
        <rFont val="Verdana"/>
        <family val="2"/>
      </rPr>
      <t>)</t>
    </r>
  </si>
  <si>
    <r>
      <rPr>
        <b/>
        <sz val="10"/>
        <rFont val="Verdana"/>
        <family val="2"/>
      </rPr>
      <t>Clocal</t>
    </r>
    <r>
      <rPr>
        <b/>
        <sz val="8"/>
        <rFont val="Verdana"/>
        <family val="2"/>
      </rPr>
      <t>soil, spray_drift_tier 2</t>
    </r>
    <r>
      <rPr>
        <sz val="10"/>
        <rFont val="Verdana"/>
        <family val="2"/>
      </rPr>
      <t xml:space="preserve"> = Elocal</t>
    </r>
    <r>
      <rPr>
        <sz val="8"/>
        <rFont val="Verdana"/>
        <family val="2"/>
      </rPr>
      <t>spray_drift, façade_tier 2</t>
    </r>
    <r>
      <rPr>
        <sz val="10"/>
        <rFont val="Verdana"/>
        <family val="2"/>
      </rPr>
      <t xml:space="preserve"> / (V</t>
    </r>
    <r>
      <rPr>
        <sz val="8"/>
        <rFont val="Verdana"/>
        <family val="2"/>
      </rPr>
      <t>soil, drift_tier 2</t>
    </r>
    <r>
      <rPr>
        <sz val="10"/>
        <rFont val="Verdana"/>
        <family val="2"/>
      </rPr>
      <t xml:space="preserve"> * RHO</t>
    </r>
    <r>
      <rPr>
        <sz val="8"/>
        <rFont val="Verdana"/>
        <family val="2"/>
      </rPr>
      <t>soil</t>
    </r>
    <r>
      <rPr>
        <sz val="10"/>
        <rFont val="Verdana"/>
        <family val="2"/>
      </rPr>
      <t>)</t>
    </r>
  </si>
  <si>
    <t>2. Emission scenario for calculating the releases from a façade treated with roller or brush (ESD Table 18, p.43)</t>
  </si>
  <si>
    <t>P/D</t>
  </si>
  <si>
    <t>Emission scenario for calculating the releases during service life from a façade (ESD Table 19, p.44) - City scenario</t>
  </si>
  <si>
    <t>Fraction of the houses on which paints, plasters, or fillers are applied (i.e. market share = 1)</t>
  </si>
  <si>
    <t>Elocal</t>
  </si>
  <si>
    <t>1. Emission scenario for calculating the direct releases to soil during service life from a façade (ESD Table 20, p.45) - House scenario, direct emission to soil</t>
  </si>
  <si>
    <t>2. Emission scenario for calculating the releases during service life from a bridge (ESD Table 21, p.46) - Bridge over pond scenario, direct emission to surface water</t>
  </si>
  <si>
    <t>Water volume</t>
  </si>
  <si>
    <t>Emission estimates for general public use of decorative paints (ESD Table 16, p.39)</t>
  </si>
  <si>
    <t>Pick list: ESD PT 6, Table 22, p.49</t>
  </si>
  <si>
    <t>1. Emission scenario for calculating the release from drying sections after size pressing and coating (ESD Table 23, p.50)</t>
  </si>
  <si>
    <t>2. Emission scenario for calculating the release from "broke" (ESD Table 24, p.51)</t>
  </si>
  <si>
    <t>Pick list: ESD PT 6, Table 24, p.51</t>
  </si>
  <si>
    <t>ESD PT 6, Table 22, p.49</t>
  </si>
  <si>
    <t>ESD PT 6 Table 24, p.51</t>
  </si>
  <si>
    <t>Type of paper</t>
  </si>
  <si>
    <t>Average production volume (t/d)</t>
  </si>
  <si>
    <t>Newsprint</t>
  </si>
  <si>
    <t>Printing and writing paper</t>
  </si>
  <si>
    <t>Paper and cardboard for packaging</t>
  </si>
  <si>
    <t>Paper for sanitary and domestic use (tissue paper)</t>
  </si>
  <si>
    <t>Special and industrial paper</t>
  </si>
  <si>
    <t>Overall paper and cardboard</t>
  </si>
  <si>
    <t xml:space="preserve">ESD PT 6,7&amp;9 Table 3, p.10 (average production volume) </t>
  </si>
  <si>
    <t>Emission scenario for paper recycling (ESD Table 25, p.52)</t>
  </si>
  <si>
    <t>ESD PT 6,7&amp;9 Table 3</t>
  </si>
  <si>
    <t>Volatility</t>
  </si>
  <si>
    <t>Fraction of release</t>
  </si>
  <si>
    <t>Select High/Medium/Low volatility</t>
  </si>
  <si>
    <t>ESD PT 6,7&amp;9 Table 9, p.16</t>
  </si>
  <si>
    <t>Available at: http://echa.europa.eu/en/guidance-documents/guidance-on-biocides-legislation/emission-scenario-documents</t>
  </si>
  <si>
    <t>This workbook provides a calculation tool for estimating the environmental releases from the use of biocides used as preservatives for products during storage. It consists of six excel sheets covering the emission scenario described in the Emission Scenario Document (below). Whenever changes have been introduced by the Technical Agreements for Biocides (TAB) these are mentioned in the scenarios affected.
This is not a standalone document. It is a calculation tool and it should be used in combination with the ESD, which contains the background information which needs to be taken into account in order to correctly use this workbook.</t>
  </si>
  <si>
    <t>1. In the "Input" table, select the type of paper from the pick list. The value of the input parameter Qpaper is automatically filled in.</t>
  </si>
  <si>
    <t>2. Introduce the value for Qactive.</t>
  </si>
  <si>
    <t xml:space="preserve"> 3. Select the volatility range (High, Medium or Low). The value of the input parameter Fevap is automatically filled in.</t>
  </si>
  <si>
    <t>4. The local emission of active substance to air will be automatically calculated.</t>
  </si>
  <si>
    <t>Pick list: ESD PT 6, Table 25, p.52</t>
  </si>
  <si>
    <t>Pick list: ESD PT 6, Table 26, p.55</t>
  </si>
  <si>
    <t>Emission estimation for the formulation process of additives used in the leather production (ESD § 3.3.3.4.1)</t>
  </si>
  <si>
    <t>ESD PT 6 Table 25, p.52</t>
  </si>
  <si>
    <t>ESD PT 6, Table 26, p.55</t>
  </si>
  <si>
    <t>ESD PT 6, Table 28, p.60</t>
  </si>
  <si>
    <t>ESD PT 6, Table 30, p. 61</t>
  </si>
  <si>
    <t>ESD PT 6, Table 29, p. 61</t>
  </si>
  <si>
    <t>ESD PT 6, Table 31, p. 62</t>
  </si>
  <si>
    <t>Pick list: ESD PT 6, Table 28, p.60</t>
  </si>
  <si>
    <t>Pick list: ESD PT 6, Table 30, p.61</t>
  </si>
  <si>
    <t>Pick list: ESD PT 6, Table 29, p.61</t>
  </si>
  <si>
    <t>ESD PT 6, Table 32, p.65</t>
  </si>
  <si>
    <t>Pick list: ESD PT 6, Table 31, p.62</t>
  </si>
  <si>
    <r>
      <rPr>
        <b/>
        <sz val="10"/>
        <rFont val="Verdana"/>
        <family val="2"/>
      </rPr>
      <t>E</t>
    </r>
    <r>
      <rPr>
        <b/>
        <vertAlign val="subscript"/>
        <sz val="10"/>
        <rFont val="Verdana"/>
        <family val="2"/>
      </rPr>
      <t>localx,water</t>
    </r>
    <r>
      <rPr>
        <b/>
        <sz val="10"/>
        <rFont val="Verdana"/>
        <family val="2"/>
      </rPr>
      <t xml:space="preserve"> </t>
    </r>
    <r>
      <rPr>
        <sz val="10"/>
        <rFont val="Verdana"/>
        <family val="2"/>
      </rPr>
      <t>= Q</t>
    </r>
    <r>
      <rPr>
        <sz val="8"/>
        <rFont val="Verdana"/>
        <family val="2"/>
      </rPr>
      <t>rawhide</t>
    </r>
    <r>
      <rPr>
        <sz val="10"/>
        <rFont val="Verdana"/>
        <family val="2"/>
      </rPr>
      <t xml:space="preserve"> *F</t>
    </r>
    <r>
      <rPr>
        <sz val="8"/>
        <rFont val="Verdana"/>
        <family val="2"/>
      </rPr>
      <t>remaining mass_x</t>
    </r>
    <r>
      <rPr>
        <sz val="10"/>
        <rFont val="Verdana"/>
        <family val="2"/>
      </rPr>
      <t xml:space="preserve"> * Q</t>
    </r>
    <r>
      <rPr>
        <sz val="8"/>
        <rFont val="Verdana"/>
        <family val="2"/>
      </rPr>
      <t>chemical formulation_x</t>
    </r>
    <r>
      <rPr>
        <sz val="10"/>
        <rFont val="Verdana"/>
        <family val="2"/>
      </rPr>
      <t xml:space="preserve"> * F</t>
    </r>
    <r>
      <rPr>
        <sz val="8"/>
        <rFont val="Verdana"/>
        <family val="2"/>
      </rPr>
      <t>in-can</t>
    </r>
    <r>
      <rPr>
        <sz val="10"/>
        <rFont val="Verdana"/>
        <family val="2"/>
      </rPr>
      <t xml:space="preserve"> * (1-F</t>
    </r>
    <r>
      <rPr>
        <sz val="8"/>
        <rFont val="Verdana"/>
        <family val="2"/>
      </rPr>
      <t>fixation_x</t>
    </r>
    <r>
      <rPr>
        <sz val="10"/>
        <rFont val="Verdana"/>
        <family val="2"/>
      </rPr>
      <t>) * F</t>
    </r>
    <r>
      <rPr>
        <sz val="8"/>
        <rFont val="Verdana"/>
        <family val="2"/>
      </rPr>
      <t>daily production_x</t>
    </r>
    <r>
      <rPr>
        <sz val="10"/>
        <rFont val="Verdana"/>
        <family val="2"/>
      </rPr>
      <t xml:space="preserve"> * (1- F</t>
    </r>
    <r>
      <rPr>
        <sz val="8"/>
        <rFont val="Verdana"/>
        <family val="2"/>
      </rPr>
      <t>on site treatment</t>
    </r>
    <r>
      <rPr>
        <sz val="10"/>
        <rFont val="Verdana"/>
        <family val="2"/>
      </rPr>
      <t>)</t>
    </r>
  </si>
  <si>
    <t>1. Enter, in the "Input" table, the fraction of active substance in formulation.</t>
  </si>
  <si>
    <t>2. Select the treatment step. Select all the steps that apply (up to 4 steps). For the treatment selected, select the type of leather. The factor of remaining mass of rawhide at this step will be automatically displayed.</t>
  </si>
  <si>
    <t>3. Enter the mass of chemical formulation used per mass at the step.</t>
  </si>
  <si>
    <t>4. The local emission of active substance to wastewater for each treatment step is automatically calculated in the "Output" table, as well as the total local emission of active substance.</t>
  </si>
  <si>
    <r>
      <t>2. Enter the fraction of the active substance in the formulation (=end-product) (Fchem</t>
    </r>
    <r>
      <rPr>
        <sz val="8"/>
        <rFont val="Verdana"/>
        <family val="2"/>
      </rPr>
      <t>form</t>
    </r>
    <r>
      <rPr>
        <sz val="10"/>
        <rFont val="Verdana"/>
        <family val="2"/>
      </rPr>
      <t>) to calculate TONNAGEreg</t>
    </r>
    <r>
      <rPr>
        <sz val="8"/>
        <rFont val="Verdana"/>
        <family val="2"/>
      </rPr>
      <t>form</t>
    </r>
    <r>
      <rPr>
        <sz val="10"/>
        <rFont val="Verdana"/>
        <family val="2"/>
      </rPr>
      <t xml:space="preserve"> (this is used to estimate F</t>
    </r>
    <r>
      <rPr>
        <sz val="8"/>
        <rFont val="Verdana"/>
        <family val="2"/>
      </rPr>
      <t xml:space="preserve">mainsource </t>
    </r>
    <r>
      <rPr>
        <sz val="10"/>
        <rFont val="Verdana"/>
        <family val="2"/>
      </rPr>
      <t>andT</t>
    </r>
    <r>
      <rPr>
        <sz val="8"/>
        <rFont val="Verdana"/>
        <family val="2"/>
      </rPr>
      <t>emission)</t>
    </r>
    <r>
      <rPr>
        <sz val="10"/>
        <rFont val="Verdana"/>
        <family val="2"/>
      </rPr>
      <t>.</t>
    </r>
  </si>
  <si>
    <t>4. Select a solubitity range and the release fraction to waterwill be displayed.</t>
  </si>
  <si>
    <t>5. The local emission to wastewater will be calculated.</t>
  </si>
  <si>
    <t>Emission scenario for the use of biocidal products as in-can preservatives of detergents and cleaning fluids (ESD § 3.1)</t>
  </si>
  <si>
    <t>Emission scenario for the use of biocidal products as in-can preservatives of paints and coatings (ESD § 3.2)</t>
  </si>
  <si>
    <t>Emission scenario for the use of biocidal products as in-can preservatives used in paper production (ESD § 3.3.1)</t>
  </si>
  <si>
    <t>Emission scenario for the use of biocidal products as in-can preservatives used in textile production (ESD § 3.3.2)</t>
  </si>
  <si>
    <t>Emission scenario for the use of biocidal products as in-can preservatives used in leather production (ESD § 3.3.3)</t>
  </si>
  <si>
    <t>Emission scenario for calculating the release from chemicals used in leather processing  (ESD § 3.3.3.4.2) - tonnage based</t>
  </si>
  <si>
    <t>Emission scenario for calculating the release from chemicals used in leather processing  (ESD § 3.3.3.4.2) - consumption based</t>
  </si>
  <si>
    <t>Emission scenario for the use of biocidal products as in-can preservatives in storage of fuels  (ESD § 3.5)</t>
  </si>
  <si>
    <t>1. Emission scenario for calculating the release of preservatives used in human hygiene biocidal products for private use based on the annual tonnage applied (ESD Table 7, p. 28)</t>
  </si>
  <si>
    <t>2. Emission scenario for calculating the release of preservatives used in human hygiene biocidal products for professional use based on the annual tonnage applied (ESD Table 7, p. 28)</t>
  </si>
  <si>
    <t>Private use, average consumption (ESD Table 8, p.29)</t>
  </si>
  <si>
    <t>OECD ESD No 22 (2009)</t>
  </si>
  <si>
    <t>1. Preservation of human hygienic products (private use; use area: soaps, shampoos,…)</t>
  </si>
  <si>
    <r>
      <t>d.yr</t>
    </r>
    <r>
      <rPr>
        <vertAlign val="superscript"/>
        <sz val="10"/>
        <color theme="1"/>
        <rFont val="Verdana"/>
        <family val="2"/>
      </rPr>
      <t>-1</t>
    </r>
  </si>
  <si>
    <r>
      <rPr>
        <sz val="10"/>
        <color theme="1"/>
        <rFont val="Verdana"/>
        <family val="2"/>
      </rPr>
      <t>RELEASE</t>
    </r>
    <r>
      <rPr>
        <sz val="8"/>
        <color theme="1"/>
        <rFont val="Verdana"/>
        <family val="2"/>
      </rPr>
      <t>water</t>
    </r>
  </si>
  <si>
    <r>
      <t>TONNAGEreg</t>
    </r>
    <r>
      <rPr>
        <sz val="8"/>
        <color theme="1"/>
        <rFont val="Verdana"/>
        <family val="2"/>
      </rPr>
      <t>form</t>
    </r>
    <r>
      <rPr>
        <sz val="10"/>
        <color theme="1"/>
        <rFont val="Verdana"/>
        <family val="2"/>
      </rPr>
      <t xml:space="preserve"> is only used to estimate F</t>
    </r>
    <r>
      <rPr>
        <sz val="8"/>
        <color theme="1"/>
        <rFont val="Verdana"/>
        <family val="2"/>
      </rPr>
      <t>mainsource</t>
    </r>
    <r>
      <rPr>
        <sz val="8"/>
        <color theme="1"/>
        <rFont val="Verdana"/>
        <family val="2"/>
      </rPr>
      <t xml:space="preserve"> </t>
    </r>
    <r>
      <rPr>
        <sz val="10"/>
        <color theme="1"/>
        <rFont val="Verdana"/>
        <family val="2"/>
      </rPr>
      <t>and F</t>
    </r>
    <r>
      <rPr>
        <sz val="8"/>
        <color theme="1"/>
        <rFont val="Verdana"/>
        <family val="2"/>
      </rPr>
      <t>water</t>
    </r>
  </si>
  <si>
    <r>
      <rPr>
        <b/>
        <sz val="10"/>
        <color theme="1"/>
        <rFont val="Verdana"/>
        <family val="2"/>
      </rPr>
      <t>Elocal</t>
    </r>
    <r>
      <rPr>
        <b/>
        <sz val="8"/>
        <color theme="1"/>
        <rFont val="Verdana"/>
        <family val="2"/>
      </rPr>
      <t>water</t>
    </r>
    <r>
      <rPr>
        <b/>
        <sz val="10"/>
        <color theme="1"/>
        <rFont val="Verdana"/>
        <family val="2"/>
      </rPr>
      <t xml:space="preserve"> </t>
    </r>
    <r>
      <rPr>
        <sz val="10"/>
        <color theme="1"/>
        <rFont val="Verdana"/>
        <family val="2"/>
      </rPr>
      <t>= TONNAGE</t>
    </r>
    <r>
      <rPr>
        <sz val="8"/>
        <color theme="1"/>
        <rFont val="Verdana"/>
        <family val="2"/>
      </rPr>
      <t>reg</t>
    </r>
    <r>
      <rPr>
        <sz val="10"/>
        <color theme="1"/>
        <rFont val="Verdana"/>
        <family val="2"/>
      </rPr>
      <t xml:space="preserve"> * 10</t>
    </r>
    <r>
      <rPr>
        <vertAlign val="superscript"/>
        <sz val="10"/>
        <color theme="1"/>
        <rFont val="Verdana"/>
        <family val="2"/>
      </rPr>
      <t>3</t>
    </r>
    <r>
      <rPr>
        <sz val="10"/>
        <color theme="1"/>
        <rFont val="Verdana"/>
        <family val="2"/>
      </rPr>
      <t xml:space="preserve"> *Fmainsource * (1-F</t>
    </r>
    <r>
      <rPr>
        <sz val="8"/>
        <color theme="1"/>
        <rFont val="Verdana"/>
        <family val="2"/>
      </rPr>
      <t>dis</t>
    </r>
    <r>
      <rPr>
        <sz val="10"/>
        <color theme="1"/>
        <rFont val="Verdana"/>
        <family val="2"/>
      </rPr>
      <t>) * F</t>
    </r>
    <r>
      <rPr>
        <sz val="8"/>
        <color theme="1"/>
        <rFont val="Verdana"/>
        <family val="2"/>
      </rPr>
      <t>water</t>
    </r>
    <r>
      <rPr>
        <sz val="10"/>
        <color theme="1"/>
        <rFont val="Verdana"/>
        <family val="2"/>
      </rPr>
      <t xml:space="preserve"> </t>
    </r>
    <r>
      <rPr>
        <sz val="10"/>
        <color theme="1"/>
        <rFont val="Verdana"/>
        <family val="2"/>
      </rPr>
      <t>/ T</t>
    </r>
    <r>
      <rPr>
        <sz val="8"/>
        <color theme="1"/>
        <rFont val="Verdana"/>
        <family val="2"/>
      </rPr>
      <t>emission</t>
    </r>
  </si>
  <si>
    <r>
      <rPr>
        <b/>
        <sz val="10"/>
        <color theme="1"/>
        <rFont val="Verdana"/>
        <family val="2"/>
      </rPr>
      <t>Elocal</t>
    </r>
    <r>
      <rPr>
        <b/>
        <sz val="8"/>
        <color theme="1"/>
        <rFont val="Verdana"/>
        <family val="2"/>
      </rPr>
      <t>water</t>
    </r>
    <r>
      <rPr>
        <b/>
        <sz val="10"/>
        <color theme="1"/>
        <rFont val="Verdana"/>
        <family val="2"/>
      </rPr>
      <t xml:space="preserve"> </t>
    </r>
    <r>
      <rPr>
        <sz val="10"/>
        <color theme="1"/>
        <rFont val="Verdana"/>
        <family val="2"/>
      </rPr>
      <t>= TONNAGE</t>
    </r>
    <r>
      <rPr>
        <sz val="8"/>
        <color theme="1"/>
        <rFont val="Verdana"/>
        <family val="2"/>
      </rPr>
      <t>reg</t>
    </r>
    <r>
      <rPr>
        <sz val="10"/>
        <color theme="1"/>
        <rFont val="Verdana"/>
        <family val="2"/>
      </rPr>
      <t xml:space="preserve"> * 10</t>
    </r>
    <r>
      <rPr>
        <vertAlign val="superscript"/>
        <sz val="10"/>
        <color theme="1"/>
        <rFont val="Verdana"/>
        <family val="2"/>
      </rPr>
      <t>3</t>
    </r>
    <r>
      <rPr>
        <sz val="10"/>
        <color theme="1"/>
        <rFont val="Verdana"/>
        <family val="2"/>
      </rPr>
      <t xml:space="preserve"> *Fmainsource * (1-F</t>
    </r>
    <r>
      <rPr>
        <sz val="8"/>
        <color theme="1"/>
        <rFont val="Verdana"/>
        <family val="2"/>
      </rPr>
      <t>dis</t>
    </r>
    <r>
      <rPr>
        <sz val="10"/>
        <color theme="1"/>
        <rFont val="Verdana"/>
        <family val="2"/>
      </rPr>
      <t>) * F</t>
    </r>
    <r>
      <rPr>
        <sz val="8"/>
        <color theme="1"/>
        <rFont val="Verdana"/>
        <family val="2"/>
      </rPr>
      <t>water</t>
    </r>
    <r>
      <rPr>
        <sz val="10"/>
        <color theme="1"/>
        <rFont val="Verdana"/>
        <family val="2"/>
      </rPr>
      <t xml:space="preserve"> / T</t>
    </r>
    <r>
      <rPr>
        <sz val="8"/>
        <color theme="1"/>
        <rFont val="Verdana"/>
        <family val="2"/>
      </rPr>
      <t>emission</t>
    </r>
  </si>
  <si>
    <t>Fraction of active substance in preparation</t>
  </si>
  <si>
    <t>align with mock ups before preparing test data</t>
  </si>
  <si>
    <r>
      <t>Q</t>
    </r>
    <r>
      <rPr>
        <sz val="8"/>
        <color theme="1"/>
        <rFont val="Verdana"/>
        <family val="2"/>
      </rPr>
      <t xml:space="preserve">leach,time1 </t>
    </r>
  </si>
  <si>
    <r>
      <t>Q</t>
    </r>
    <r>
      <rPr>
        <sz val="8"/>
        <color theme="1"/>
        <rFont val="Verdana"/>
        <family val="2"/>
      </rPr>
      <t xml:space="preserve">leach,time2 </t>
    </r>
  </si>
  <si>
    <r>
      <rPr>
        <b/>
        <sz val="10"/>
        <rFont val="Verdana"/>
        <family val="2"/>
      </rPr>
      <t>Clocal</t>
    </r>
    <r>
      <rPr>
        <b/>
        <sz val="8"/>
        <rFont val="Verdana"/>
        <family val="2"/>
      </rPr>
      <t xml:space="preserve">water, leach, time1 </t>
    </r>
    <r>
      <rPr>
        <sz val="10"/>
        <rFont val="Verdana"/>
        <family val="2"/>
      </rPr>
      <t>= Q</t>
    </r>
    <r>
      <rPr>
        <sz val="8"/>
        <rFont val="Verdana"/>
        <family val="2"/>
      </rPr>
      <t>leach, time1</t>
    </r>
    <r>
      <rPr>
        <sz val="10"/>
        <rFont val="Verdana"/>
        <family val="2"/>
      </rPr>
      <t xml:space="preserve"> * AREA</t>
    </r>
    <r>
      <rPr>
        <sz val="8"/>
        <rFont val="Verdana"/>
        <family val="2"/>
      </rPr>
      <t>bridge</t>
    </r>
    <r>
      <rPr>
        <sz val="10"/>
        <rFont val="Verdana"/>
        <family val="2"/>
      </rPr>
      <t xml:space="preserve"> / V</t>
    </r>
    <r>
      <rPr>
        <sz val="8"/>
        <rFont val="Verdana"/>
        <family val="2"/>
      </rPr>
      <t>water</t>
    </r>
    <r>
      <rPr>
        <sz val="10"/>
        <rFont val="Verdana"/>
        <family val="2"/>
      </rPr>
      <t xml:space="preserve"> </t>
    </r>
  </si>
  <si>
    <t>Local emission to soil (during the initial assessment period)</t>
  </si>
  <si>
    <t>Number of washing tubes</t>
  </si>
  <si>
    <r>
      <rPr>
        <b/>
        <sz val="10"/>
        <color theme="1"/>
        <rFont val="Verdana"/>
        <family val="2"/>
      </rPr>
      <t>Elocal</t>
    </r>
    <r>
      <rPr>
        <b/>
        <sz val="8"/>
        <color theme="1"/>
        <rFont val="Verdana"/>
        <family val="2"/>
      </rPr>
      <t xml:space="preserve">water </t>
    </r>
    <r>
      <rPr>
        <sz val="10"/>
        <color theme="1"/>
        <rFont val="Verdana"/>
        <family val="2"/>
      </rPr>
      <t>= Nm * Cap * V</t>
    </r>
    <r>
      <rPr>
        <sz val="8"/>
        <color theme="1"/>
        <rFont val="Verdana"/>
        <family val="2"/>
      </rPr>
      <t>product</t>
    </r>
    <r>
      <rPr>
        <sz val="10"/>
        <color theme="1"/>
        <rFont val="Verdana"/>
        <family val="2"/>
      </rPr>
      <t xml:space="preserve"> * C</t>
    </r>
    <r>
      <rPr>
        <sz val="8"/>
        <color theme="1"/>
        <rFont val="Verdana"/>
        <family val="2"/>
      </rPr>
      <t xml:space="preserve">detergent </t>
    </r>
    <r>
      <rPr>
        <sz val="10"/>
        <color theme="1"/>
        <rFont val="Verdana"/>
        <family val="2"/>
      </rPr>
      <t>* (1-F</t>
    </r>
    <r>
      <rPr>
        <sz val="8"/>
        <color theme="1"/>
        <rFont val="Verdana"/>
        <family val="2"/>
      </rPr>
      <t>red</t>
    </r>
    <r>
      <rPr>
        <sz val="10"/>
        <color theme="1"/>
        <rFont val="Verdana"/>
        <family val="2"/>
      </rPr>
      <t>) * F</t>
    </r>
    <r>
      <rPr>
        <sz val="8"/>
        <color theme="1"/>
        <rFont val="Verdana"/>
        <family val="2"/>
      </rPr>
      <t xml:space="preserve">penetr </t>
    </r>
    <r>
      <rPr>
        <sz val="10"/>
        <color theme="1"/>
        <rFont val="Verdana"/>
        <family val="2"/>
      </rPr>
      <t>* 0.001</t>
    </r>
  </si>
  <si>
    <t>Leachable area of the bridge</t>
  </si>
  <si>
    <t>TIME1</t>
  </si>
  <si>
    <t>TIME2</t>
  </si>
  <si>
    <t>Time from the end of initial assessment period to the end of longer assessment period</t>
  </si>
  <si>
    <r>
      <t>N</t>
    </r>
    <r>
      <rPr>
        <sz val="8"/>
        <rFont val="Verdana"/>
        <family val="2"/>
      </rPr>
      <t>house,longer-initial</t>
    </r>
  </si>
  <si>
    <r>
      <t>TIME</t>
    </r>
    <r>
      <rPr>
        <vertAlign val="subscript"/>
        <sz val="10"/>
        <color theme="1"/>
        <rFont val="Verdana"/>
        <family val="2"/>
      </rPr>
      <t>(2-1)</t>
    </r>
  </si>
  <si>
    <r>
      <rPr>
        <b/>
        <sz val="10"/>
        <rFont val="Verdana"/>
        <family val="2"/>
      </rPr>
      <t>N</t>
    </r>
    <r>
      <rPr>
        <b/>
        <sz val="8"/>
        <rFont val="Verdana"/>
        <family val="2"/>
      </rPr>
      <t>house,initial</t>
    </r>
    <r>
      <rPr>
        <b/>
        <sz val="10"/>
        <rFont val="Verdana"/>
        <family val="2"/>
      </rPr>
      <t xml:space="preserve"> </t>
    </r>
    <r>
      <rPr>
        <sz val="10"/>
        <rFont val="Verdana"/>
        <family val="2"/>
      </rPr>
      <t>= TIME1/ TIME2 * N</t>
    </r>
    <r>
      <rPr>
        <sz val="8"/>
        <rFont val="Verdana"/>
        <family val="2"/>
      </rPr>
      <t>house</t>
    </r>
    <r>
      <rPr>
        <sz val="10"/>
        <rFont val="Verdana"/>
        <family val="2"/>
      </rPr>
      <t xml:space="preserve"> * f</t>
    </r>
    <r>
      <rPr>
        <sz val="8"/>
        <rFont val="Verdana"/>
        <family val="2"/>
      </rPr>
      <t>house</t>
    </r>
  </si>
  <si>
    <r>
      <rPr>
        <b/>
        <sz val="10"/>
        <rFont val="Verdana"/>
        <family val="2"/>
      </rPr>
      <t>N</t>
    </r>
    <r>
      <rPr>
        <b/>
        <sz val="8"/>
        <rFont val="Verdana"/>
        <family val="2"/>
      </rPr>
      <t>house,longer-initial</t>
    </r>
    <r>
      <rPr>
        <b/>
        <sz val="10"/>
        <rFont val="Verdana"/>
        <family val="2"/>
      </rPr>
      <t xml:space="preserve"> </t>
    </r>
    <r>
      <rPr>
        <sz val="10"/>
        <rFont val="Verdana"/>
        <family val="2"/>
      </rPr>
      <t>= TIME</t>
    </r>
    <r>
      <rPr>
        <vertAlign val="subscript"/>
        <sz val="10"/>
        <rFont val="Verdana"/>
        <family val="2"/>
      </rPr>
      <t>(2-1)</t>
    </r>
    <r>
      <rPr>
        <sz val="10"/>
        <rFont val="Verdana"/>
        <family val="2"/>
      </rPr>
      <t xml:space="preserve"> / TIME2 * N</t>
    </r>
    <r>
      <rPr>
        <sz val="8"/>
        <rFont val="Verdana"/>
        <family val="2"/>
      </rPr>
      <t>house</t>
    </r>
    <r>
      <rPr>
        <sz val="10"/>
        <rFont val="Verdana"/>
        <family val="2"/>
      </rPr>
      <t xml:space="preserve"> * f</t>
    </r>
    <r>
      <rPr>
        <sz val="8"/>
        <rFont val="Verdana"/>
        <family val="2"/>
      </rPr>
      <t>house</t>
    </r>
  </si>
  <si>
    <t>Bulk density of soil</t>
  </si>
  <si>
    <t>Duration of the initial assessment period</t>
  </si>
  <si>
    <t>Duration of the longer assessment period</t>
  </si>
  <si>
    <t xml:space="preserve">Cumulative quantity of an active substance, leached over the longer assessment period </t>
  </si>
  <si>
    <t xml:space="preserve">Leachable area of a façade </t>
  </si>
  <si>
    <t>Duration of the intermediate assessment period</t>
  </si>
  <si>
    <t>TIME 3</t>
  </si>
  <si>
    <r>
      <t>Q</t>
    </r>
    <r>
      <rPr>
        <sz val="8"/>
        <color theme="1"/>
        <rFont val="Verdana"/>
        <family val="2"/>
      </rPr>
      <t xml:space="preserve">leach,time 3 </t>
    </r>
  </si>
  <si>
    <t>Cumulative quantity of an active substance, leached over the longer assessment period</t>
  </si>
  <si>
    <t>Cumulative quantity of an active substance, leached over the intermediate assessment period</t>
  </si>
  <si>
    <t>Concentration in local soil at the end of the intermediate assessment period</t>
  </si>
  <si>
    <t>Concentration in local soil at the end of the longer assessment period</t>
  </si>
  <si>
    <r>
      <t>Clocal</t>
    </r>
    <r>
      <rPr>
        <sz val="8"/>
        <rFont val="Verdana"/>
        <family val="2"/>
      </rPr>
      <t>soil, leach, time3</t>
    </r>
  </si>
  <si>
    <r>
      <rPr>
        <b/>
        <sz val="10"/>
        <rFont val="Verdana"/>
        <family val="2"/>
      </rPr>
      <t>Clocal</t>
    </r>
    <r>
      <rPr>
        <b/>
        <sz val="8"/>
        <rFont val="Verdana"/>
        <family val="2"/>
      </rPr>
      <t xml:space="preserve">soil, leach, time3 </t>
    </r>
    <r>
      <rPr>
        <sz val="10"/>
        <rFont val="Verdana"/>
        <family val="2"/>
      </rPr>
      <t>= Q</t>
    </r>
    <r>
      <rPr>
        <sz val="8"/>
        <rFont val="Verdana"/>
        <family val="2"/>
      </rPr>
      <t>leach, time 3</t>
    </r>
    <r>
      <rPr>
        <sz val="10"/>
        <rFont val="Verdana"/>
        <family val="2"/>
      </rPr>
      <t xml:space="preserve"> * AREA</t>
    </r>
    <r>
      <rPr>
        <sz val="8"/>
        <rFont val="Verdana"/>
        <family val="2"/>
      </rPr>
      <t>façade</t>
    </r>
    <r>
      <rPr>
        <sz val="10"/>
        <rFont val="Verdana"/>
        <family val="2"/>
      </rPr>
      <t xml:space="preserve"> / (V</t>
    </r>
    <r>
      <rPr>
        <sz val="8"/>
        <rFont val="Verdana"/>
        <family val="2"/>
      </rPr>
      <t>soil</t>
    </r>
    <r>
      <rPr>
        <sz val="10"/>
        <rFont val="Verdana"/>
        <family val="2"/>
      </rPr>
      <t xml:space="preserve"> * RHO</t>
    </r>
    <r>
      <rPr>
        <sz val="8"/>
        <rFont val="Verdana"/>
        <family val="2"/>
      </rPr>
      <t>soil</t>
    </r>
    <r>
      <rPr>
        <sz val="10"/>
        <rFont val="Verdana"/>
        <family val="2"/>
      </rPr>
      <t>)</t>
    </r>
  </si>
  <si>
    <t>Local emission to soil (during the longer assessment period)</t>
  </si>
  <si>
    <t>Local emission to soil (during the intermediate assessment period)</t>
  </si>
  <si>
    <r>
      <t>kg</t>
    </r>
    <r>
      <rPr>
        <vertAlign val="subscript"/>
        <sz val="10"/>
        <color theme="1"/>
        <rFont val="Verdana"/>
        <family val="2"/>
      </rPr>
      <t>wwt</t>
    </r>
    <r>
      <rPr>
        <sz val="10"/>
        <color theme="1"/>
        <rFont val="Verdana"/>
        <family val="2"/>
      </rPr>
      <t>.m</t>
    </r>
    <r>
      <rPr>
        <vertAlign val="superscript"/>
        <sz val="10"/>
        <color theme="1"/>
        <rFont val="Verdana"/>
        <family val="2"/>
      </rPr>
      <t>-3</t>
    </r>
  </si>
  <si>
    <r>
      <rPr>
        <b/>
        <sz val="10"/>
        <rFont val="Verdana"/>
        <family val="2"/>
      </rPr>
      <t>Elocal</t>
    </r>
    <r>
      <rPr>
        <sz val="10"/>
        <rFont val="Verdana"/>
        <family val="2"/>
      </rPr>
      <t xml:space="preserve"> = (N</t>
    </r>
    <r>
      <rPr>
        <sz val="8"/>
        <rFont val="Verdana"/>
        <family val="2"/>
      </rPr>
      <t>house,initial</t>
    </r>
    <r>
      <rPr>
        <sz val="10"/>
        <rFont val="Verdana"/>
        <family val="2"/>
      </rPr>
      <t xml:space="preserve"> * Q</t>
    </r>
    <r>
      <rPr>
        <sz val="8"/>
        <rFont val="Verdana"/>
        <family val="2"/>
      </rPr>
      <t>leach,time 1</t>
    </r>
    <r>
      <rPr>
        <sz val="10"/>
        <rFont val="Verdana"/>
        <family val="2"/>
      </rPr>
      <t xml:space="preserve"> * AREA)/TIME1 + (N</t>
    </r>
    <r>
      <rPr>
        <sz val="8"/>
        <rFont val="Verdana"/>
        <family val="2"/>
      </rPr>
      <t>house,longer-initial</t>
    </r>
    <r>
      <rPr>
        <sz val="10"/>
        <rFont val="Verdana"/>
        <family val="2"/>
      </rPr>
      <t xml:space="preserve"> * Q</t>
    </r>
    <r>
      <rPr>
        <sz val="8"/>
        <rFont val="Verdana"/>
        <family val="2"/>
      </rPr>
      <t>leach,time 2</t>
    </r>
    <r>
      <rPr>
        <sz val="10"/>
        <rFont val="Verdana"/>
        <family val="2"/>
      </rPr>
      <t xml:space="preserve"> * AREA)/TIME</t>
    </r>
    <r>
      <rPr>
        <vertAlign val="subscript"/>
        <sz val="10"/>
        <rFont val="Verdana"/>
        <family val="2"/>
      </rPr>
      <t>(2-1)</t>
    </r>
  </si>
  <si>
    <t>Number of houses treated per day in the countryside scenario</t>
  </si>
  <si>
    <t>Number of houses treated per day in the city scenario</t>
  </si>
  <si>
    <r>
      <t>n</t>
    </r>
    <r>
      <rPr>
        <vertAlign val="subscript"/>
        <sz val="10"/>
        <color theme="1"/>
        <rFont val="Verdana"/>
        <family val="2"/>
      </rPr>
      <t>houses_applic_city</t>
    </r>
  </si>
  <si>
    <r>
      <t>n</t>
    </r>
    <r>
      <rPr>
        <vertAlign val="subscript"/>
        <sz val="10"/>
        <color theme="1"/>
        <rFont val="Verdana"/>
        <family val="2"/>
      </rPr>
      <t>houses_applic_countryside</t>
    </r>
  </si>
  <si>
    <t>kg</t>
  </si>
  <si>
    <t>Local emission of active substance to soil during application</t>
  </si>
  <si>
    <t>Local concentration of active substance in soil (adjacent to treated surface) resulting from application</t>
  </si>
  <si>
    <t>Treated area of a façade</t>
  </si>
  <si>
    <r>
      <rPr>
        <b/>
        <sz val="10"/>
        <rFont val="Verdana"/>
        <family val="2"/>
      </rPr>
      <t>Elocal</t>
    </r>
    <r>
      <rPr>
        <b/>
        <sz val="8"/>
        <rFont val="Verdana"/>
        <family val="2"/>
      </rPr>
      <t>spray, façade, water</t>
    </r>
    <r>
      <rPr>
        <sz val="10"/>
        <rFont val="Verdana"/>
        <family val="2"/>
      </rPr>
      <t xml:space="preserve"> = nhouses_applic_city * (Elocal</t>
    </r>
    <r>
      <rPr>
        <sz val="8"/>
        <rFont val="Verdana"/>
        <family val="2"/>
      </rPr>
      <t>spray_drift, façade</t>
    </r>
    <r>
      <rPr>
        <sz val="10"/>
        <rFont val="Verdana"/>
        <family val="2"/>
      </rPr>
      <t xml:space="preserve"> + Elocal</t>
    </r>
    <r>
      <rPr>
        <sz val="8"/>
        <rFont val="Verdana"/>
        <family val="2"/>
      </rPr>
      <t>runoff, façade</t>
    </r>
    <r>
      <rPr>
        <sz val="10"/>
        <rFont val="Verdana"/>
        <family val="2"/>
      </rPr>
      <t>)</t>
    </r>
  </si>
  <si>
    <t>Local emission of active substance during application on a façade due to runoff</t>
  </si>
  <si>
    <t>Local emission of active substance during application on a façade due to spray drift - tier 1</t>
  </si>
  <si>
    <t>Local emission of active substance during application on a façade due to spray drift - tier 1
+
Local emission of active substance during application on a façade due to runoff</t>
  </si>
  <si>
    <t>Local emission of active substance during application on a façade due to spray drift - tier 2</t>
  </si>
  <si>
    <t>Elocalsoil,spray_drift,façade,tier1 + Elocalsoil,spray_runoff,façade</t>
  </si>
  <si>
    <r>
      <rPr>
        <b/>
        <sz val="10"/>
        <rFont val="Verdana"/>
        <family val="2"/>
      </rPr>
      <t>Elocal</t>
    </r>
    <r>
      <rPr>
        <b/>
        <sz val="8"/>
        <rFont val="Verdana"/>
        <family val="2"/>
      </rPr>
      <t>runoff, façade</t>
    </r>
    <r>
      <rPr>
        <sz val="10"/>
        <rFont val="Verdana"/>
        <family val="2"/>
      </rPr>
      <t xml:space="preserve"> = AREA</t>
    </r>
    <r>
      <rPr>
        <sz val="8"/>
        <rFont val="Verdana"/>
        <family val="2"/>
      </rPr>
      <t>façade</t>
    </r>
    <r>
      <rPr>
        <sz val="10"/>
        <rFont val="Verdana"/>
        <family val="2"/>
      </rPr>
      <t xml:space="preserve"> * Q</t>
    </r>
    <r>
      <rPr>
        <sz val="8"/>
        <rFont val="Verdana"/>
        <family val="2"/>
      </rPr>
      <t>application,product</t>
    </r>
    <r>
      <rPr>
        <sz val="10"/>
        <rFont val="Verdana"/>
        <family val="2"/>
      </rPr>
      <t xml:space="preserve"> * F</t>
    </r>
    <r>
      <rPr>
        <sz val="8"/>
        <rFont val="Verdana"/>
        <family val="2"/>
      </rPr>
      <t>ai</t>
    </r>
    <r>
      <rPr>
        <sz val="10"/>
        <rFont val="Verdana"/>
        <family val="2"/>
      </rPr>
      <t xml:space="preserve"> * RHO</t>
    </r>
    <r>
      <rPr>
        <sz val="8"/>
        <rFont val="Verdana"/>
        <family val="2"/>
      </rPr>
      <t>product</t>
    </r>
    <r>
      <rPr>
        <sz val="10"/>
        <rFont val="Verdana"/>
        <family val="2"/>
      </rPr>
      <t xml:space="preserve"> * F</t>
    </r>
    <r>
      <rPr>
        <sz val="8"/>
        <rFont val="Verdana"/>
        <family val="2"/>
      </rPr>
      <t>runoff</t>
    </r>
    <r>
      <rPr>
        <sz val="10"/>
        <rFont val="Verdana"/>
        <family val="2"/>
      </rPr>
      <t xml:space="preserve"> * 0.001</t>
    </r>
  </si>
  <si>
    <t>&lt; 100000 t/yr (HPVC, UC 27 or UC 28 + others)</t>
  </si>
  <si>
    <r>
      <rPr>
        <b/>
        <sz val="10"/>
        <color theme="1"/>
        <rFont val="Verdana"/>
        <family val="2"/>
      </rPr>
      <t>Elocal</t>
    </r>
    <r>
      <rPr>
        <b/>
        <sz val="8"/>
        <color theme="1"/>
        <rFont val="Verdana"/>
        <family val="2"/>
      </rPr>
      <t xml:space="preserve">water </t>
    </r>
    <r>
      <rPr>
        <sz val="10"/>
        <color theme="1"/>
        <rFont val="Verdana"/>
        <family val="2"/>
      </rPr>
      <t>= N</t>
    </r>
    <r>
      <rPr>
        <sz val="8"/>
        <color theme="1"/>
        <rFont val="Verdana"/>
        <family val="2"/>
      </rPr>
      <t xml:space="preserve">local </t>
    </r>
    <r>
      <rPr>
        <sz val="10"/>
        <color theme="1"/>
        <rFont val="Verdana"/>
        <family val="2"/>
      </rPr>
      <t>* Qform</t>
    </r>
    <r>
      <rPr>
        <sz val="8"/>
        <color theme="1"/>
        <rFont val="Verdana"/>
        <family val="2"/>
      </rPr>
      <t xml:space="preserve"> </t>
    </r>
    <r>
      <rPr>
        <sz val="10"/>
        <color theme="1"/>
        <rFont val="Verdana"/>
        <family val="2"/>
      </rPr>
      <t>* Cform * F</t>
    </r>
    <r>
      <rPr>
        <sz val="8"/>
        <color theme="1"/>
        <rFont val="Verdana"/>
        <family val="2"/>
      </rPr>
      <t>penetr</t>
    </r>
    <r>
      <rPr>
        <sz val="10"/>
        <color theme="1"/>
        <rFont val="Verdana"/>
        <family val="2"/>
      </rPr>
      <t xml:space="preserve"> * (1-F</t>
    </r>
    <r>
      <rPr>
        <sz val="8"/>
        <color theme="1"/>
        <rFont val="Verdana"/>
        <family val="2"/>
      </rPr>
      <t>dis</t>
    </r>
    <r>
      <rPr>
        <sz val="10"/>
        <color theme="1"/>
        <rFont val="Verdana"/>
        <family val="2"/>
      </rPr>
      <t>) * F</t>
    </r>
    <r>
      <rPr>
        <sz val="8"/>
        <color theme="1"/>
        <rFont val="Verdana"/>
        <family val="2"/>
      </rPr>
      <t>water</t>
    </r>
    <r>
      <rPr>
        <sz val="10"/>
        <color theme="1"/>
        <rFont val="Verdana"/>
        <family val="2"/>
      </rPr>
      <t xml:space="preserve"> * 0.001</t>
    </r>
  </si>
  <si>
    <t xml:space="preserve">Considering removal processes in the soil </t>
  </si>
  <si>
    <t>Concentration in local soil over the intermediate assessment period</t>
  </si>
  <si>
    <t>Concentration in soil pore water after the initial assessment period</t>
  </si>
  <si>
    <t>Concentration in soil pore water after the intermediate assessment period</t>
  </si>
  <si>
    <t>Concentration in soil pore water over a longer duration</t>
  </si>
  <si>
    <r>
      <t>Q</t>
    </r>
    <r>
      <rPr>
        <sz val="8"/>
        <color theme="1"/>
        <rFont val="Verdana"/>
        <family val="2"/>
      </rPr>
      <t xml:space="preserve">leach,time3 </t>
    </r>
  </si>
  <si>
    <t>Concentration in local water at the end of the intermediate assessment period</t>
  </si>
  <si>
    <r>
      <t>Clocal</t>
    </r>
    <r>
      <rPr>
        <sz val="8"/>
        <rFont val="Verdana"/>
        <family val="2"/>
      </rPr>
      <t>water, leach, time3</t>
    </r>
  </si>
  <si>
    <r>
      <rPr>
        <b/>
        <sz val="10"/>
        <rFont val="Verdana"/>
        <family val="2"/>
      </rPr>
      <t>Clocal</t>
    </r>
    <r>
      <rPr>
        <b/>
        <sz val="8"/>
        <rFont val="Verdana"/>
        <family val="2"/>
      </rPr>
      <t xml:space="preserve">water, leach, time3 </t>
    </r>
    <r>
      <rPr>
        <sz val="10"/>
        <rFont val="Verdana"/>
        <family val="2"/>
      </rPr>
      <t>= Q</t>
    </r>
    <r>
      <rPr>
        <sz val="8"/>
        <rFont val="Verdana"/>
        <family val="2"/>
      </rPr>
      <t>leach, time 3</t>
    </r>
    <r>
      <rPr>
        <sz val="10"/>
        <rFont val="Verdana"/>
        <family val="2"/>
      </rPr>
      <t xml:space="preserve"> * AREA</t>
    </r>
    <r>
      <rPr>
        <sz val="8"/>
        <rFont val="Verdana"/>
        <family val="2"/>
      </rPr>
      <t>bridge</t>
    </r>
    <r>
      <rPr>
        <sz val="10"/>
        <rFont val="Verdana"/>
        <family val="2"/>
      </rPr>
      <t xml:space="preserve"> / V</t>
    </r>
    <r>
      <rPr>
        <sz val="8"/>
        <rFont val="Verdana"/>
        <family val="2"/>
      </rPr>
      <t>water</t>
    </r>
    <r>
      <rPr>
        <sz val="10"/>
        <rFont val="Verdana"/>
        <family val="2"/>
      </rPr>
      <t xml:space="preserve"> </t>
    </r>
  </si>
  <si>
    <t>≥ 1000 t/yr (non-HPVC)</t>
  </si>
  <si>
    <t>≥ 100 and &lt; 500 t/yr (non-HPVC)</t>
  </si>
  <si>
    <t>≥ 500 and &lt; 1000 t/yr (non-HPVC)</t>
  </si>
  <si>
    <t>≥ 3500 and &lt; 10000 t/yr (HPVC)</t>
  </si>
  <si>
    <t>≥ 10000 and &lt; 25000 t/yr (HPVC)</t>
  </si>
  <si>
    <t>≥  25000 and &lt; 50000 t/yr (HPVC)</t>
  </si>
  <si>
    <t>≥  50000 t/yr (HPVC)</t>
  </si>
  <si>
    <r>
      <t xml:space="preserve">Based on the </t>
    </r>
    <r>
      <rPr>
        <b/>
        <sz val="10"/>
        <color theme="1"/>
        <rFont val="Verdana"/>
        <family val="2"/>
      </rPr>
      <t>calculated TONNAGEreg</t>
    </r>
    <r>
      <rPr>
        <b/>
        <sz val="8"/>
        <color theme="1"/>
        <rFont val="Verdana"/>
        <family val="2"/>
      </rPr>
      <t>form</t>
    </r>
    <r>
      <rPr>
        <sz val="10"/>
        <color theme="1"/>
        <rFont val="Verdana"/>
        <family val="2"/>
      </rPr>
      <t xml:space="preserve"> select the tonnage range and HPVC/non-HPVC from the drop-down menu </t>
    </r>
  </si>
  <si>
    <r>
      <t xml:space="preserve">3. Based on the </t>
    </r>
    <r>
      <rPr>
        <b/>
        <sz val="10"/>
        <rFont val="Verdana"/>
        <family val="2"/>
      </rPr>
      <t>calculated TONNAGEreg</t>
    </r>
    <r>
      <rPr>
        <b/>
        <sz val="8"/>
        <rFont val="Verdana"/>
        <family val="2"/>
      </rPr>
      <t>form</t>
    </r>
    <r>
      <rPr>
        <sz val="10"/>
        <rFont val="Verdana"/>
        <family val="2"/>
      </rPr>
      <t xml:space="preserve"> select the tonnage range and HPVC/non-HPVC from the drop-down menu.  </t>
    </r>
  </si>
  <si>
    <r>
      <t xml:space="preserve">3. Based on the </t>
    </r>
    <r>
      <rPr>
        <b/>
        <sz val="10"/>
        <rFont val="Verdana"/>
        <family val="2"/>
      </rPr>
      <t>calculated TONNAGEregform</t>
    </r>
    <r>
      <rPr>
        <sz val="10"/>
        <rFont val="Verdana"/>
        <family val="2"/>
      </rPr>
      <t xml:space="preserve"> select the right range from the drop-down menu.</t>
    </r>
  </si>
  <si>
    <r>
      <t xml:space="preserve">Based on the </t>
    </r>
    <r>
      <rPr>
        <b/>
        <sz val="10"/>
        <color theme="1"/>
        <rFont val="Verdana"/>
        <family val="2"/>
      </rPr>
      <t>calculated TONNAGEreg</t>
    </r>
    <r>
      <rPr>
        <b/>
        <sz val="8"/>
        <color theme="1"/>
        <rFont val="Verdana"/>
        <family val="2"/>
      </rPr>
      <t>form</t>
    </r>
    <r>
      <rPr>
        <sz val="10"/>
        <color theme="1"/>
        <rFont val="Verdana"/>
        <family val="2"/>
      </rPr>
      <t xml:space="preserve"> select the right range from the drop-down menu </t>
    </r>
  </si>
  <si>
    <r>
      <rPr>
        <sz val="10"/>
        <color theme="1"/>
        <rFont val="Verdana"/>
        <family val="2"/>
      </rPr>
      <t>≥ 50000 t/yr</t>
    </r>
  </si>
  <si>
    <t>≥ 50000 t/yr</t>
  </si>
  <si>
    <t>≥ 3500 and &lt; 10000 t/yr</t>
  </si>
  <si>
    <t>≥ 10000 and &lt; 25000 t/yr</t>
  </si>
  <si>
    <t>≥ 25000 and &lt; 50000 t/yr</t>
  </si>
  <si>
    <r>
      <rPr>
        <sz val="10"/>
        <color theme="1"/>
        <rFont val="Verdana"/>
        <family val="2"/>
      </rPr>
      <t>≥ 50000 t/yr (HPVC)</t>
    </r>
  </si>
  <si>
    <r>
      <rPr>
        <sz val="10"/>
        <color theme="1"/>
        <rFont val="Verdana"/>
        <family val="2"/>
      </rPr>
      <t>≥ 1000 t/yr (non-HPVC, UC 10 or 45)</t>
    </r>
  </si>
  <si>
    <t>≥ 25000 and &lt; 50000 t/yr (HPVC)</t>
  </si>
  <si>
    <t xml:space="preserve">≥ 5 and &lt; 50 t/yr (non-HPVC, UC 10 or 45) </t>
  </si>
  <si>
    <t>≥ 50 and &lt; 100 t/yr (non-HPVC, UC 10 or 45)</t>
  </si>
  <si>
    <t>≥ 100 and &lt; 500 t/yr (non-HPVC, UC 10 or 45)</t>
  </si>
  <si>
    <t>≥ 500 and &lt; 1000 t/yr (non-HPVC, UC 10 or 45)</t>
  </si>
  <si>
    <t>≥ 100 and &lt; 500 t/yr (non-HPVC, UC other than UC 10 and 45)</t>
  </si>
  <si>
    <t>≥ 500 and &lt; 1000 t/yr (non-HPVC, UC other than UC 10 and 45)</t>
  </si>
  <si>
    <r>
      <t xml:space="preserve">Solubility </t>
    </r>
    <r>
      <rPr>
        <sz val="10"/>
        <color theme="1"/>
        <rFont val="Verdana"/>
        <family val="2"/>
      </rPr>
      <t>≥ 100 mg/l</t>
    </r>
  </si>
  <si>
    <t>Easily soluble (≥ 1000 mg/l)</t>
  </si>
  <si>
    <r>
      <rPr>
        <sz val="10"/>
        <color theme="1"/>
        <rFont val="Verdana"/>
        <family val="2"/>
      </rPr>
      <t>≥ 2000 t/yr (non-HPVC)</t>
    </r>
  </si>
  <si>
    <r>
      <rPr>
        <sz val="10"/>
        <color theme="1"/>
        <rFont val="Verdana"/>
        <family val="2"/>
      </rPr>
      <t>≥ 250000 t/yr (HPVC, UC 6, 9, 10 or 31)</t>
    </r>
  </si>
  <si>
    <r>
      <rPr>
        <sz val="10"/>
        <color theme="1"/>
        <rFont val="Verdana"/>
        <family val="2"/>
      </rPr>
      <t>≥ 50000 t/yr (HPVC, UC other than 6, 9, 10 and 31)</t>
    </r>
  </si>
  <si>
    <t>≥ 10 and &lt; 50 t/yr (non-HPVC)</t>
  </si>
  <si>
    <t>≥ 50 and &lt; 500 t/yr (non-HPVC)</t>
  </si>
  <si>
    <t>≥ 500 and &lt; 2000 t/yr (non-HPVC)</t>
  </si>
  <si>
    <t>≥ 100000 and &lt; 250000 t/yr (HPVC, UC 6, 9, 10 or 31)</t>
  </si>
  <si>
    <t>≥ 3500 and &lt; 1000 t/yr (HPVC, UC other than 6, 9, 10 and 31)</t>
  </si>
  <si>
    <t>≥ 10000 and &lt; 25000 t/yr (HPVC, UC other than 6, 9, 10 and 31)</t>
  </si>
  <si>
    <t>≥ 25000 and &lt; 50000 t/yr (HPVC, UC other than 6, 9, 10 and 31)</t>
  </si>
  <si>
    <t>≥ 10 and &lt; 50 t/yr</t>
  </si>
  <si>
    <t>≥ 50 and &lt; 500 t/yr</t>
  </si>
  <si>
    <t>≥ 500 and &lt; 1000 t/yr</t>
  </si>
  <si>
    <t>≥ 1000 and &lt; 5000 t/yr</t>
  </si>
  <si>
    <t>≥ 5000 and &lt; 25000 t/yr</t>
  </si>
  <si>
    <r>
      <rPr>
        <sz val="10"/>
        <color theme="1"/>
        <rFont val="Verdana"/>
        <family val="2"/>
      </rPr>
      <t>≥ 25000 t/yr</t>
    </r>
  </si>
  <si>
    <t>≥ 100000 and &lt; 250000 t/yr (HPVC, UC 27 or UC 28 + others)</t>
  </si>
  <si>
    <r>
      <rPr>
        <sz val="10"/>
        <color theme="1"/>
        <rFont val="Verdana"/>
        <family val="2"/>
      </rPr>
      <t>≥ 250000 t/yr (HPVC, UC 27 or UC 28 + others)</t>
    </r>
  </si>
  <si>
    <t xml:space="preserve">≥ 1000 and &lt; 2000 t/yr (non-HPVC, UC 27) </t>
  </si>
  <si>
    <r>
      <rPr>
        <sz val="10"/>
        <color theme="1"/>
        <rFont val="Verdana"/>
        <family val="2"/>
      </rPr>
      <t>≥ 2000 t/yr (non-HPVC, UC 27)</t>
    </r>
  </si>
  <si>
    <t>≥ 5 and &lt; 50 t/yr (non-HPVC, UC 28 + others)</t>
  </si>
  <si>
    <t>≥ 50 and &lt; 100 t/yr (non-HPVC, UC 28 + others)</t>
  </si>
  <si>
    <t>≥ 100 and &lt; 500 t/yr (non-HPVC, UC 28 + others)</t>
  </si>
  <si>
    <t>≥ 500 and &lt; 1000 t/yr (non-HPVC, UC 28 + others)</t>
  </si>
  <si>
    <r>
      <rPr>
        <sz val="10"/>
        <color theme="1"/>
        <rFont val="Verdana"/>
        <family val="2"/>
      </rPr>
      <t>≥ 1000 t/yr (non-HPVC, UC 28 + others)</t>
    </r>
  </si>
  <si>
    <r>
      <rPr>
        <sz val="10"/>
        <color theme="1"/>
        <rFont val="Verdana"/>
        <family val="2"/>
      </rPr>
      <t>≥ 1000 tonnes/year</t>
    </r>
  </si>
  <si>
    <r>
      <t xml:space="preserve">VP </t>
    </r>
    <r>
      <rPr>
        <sz val="10"/>
        <color theme="1"/>
        <rFont val="Verdana"/>
        <family val="2"/>
      </rPr>
      <t>≥ 1000 Pa</t>
    </r>
  </si>
  <si>
    <t>VP ≥ 10 Pa and &lt; 100 Pa</t>
  </si>
  <si>
    <t>VP ≥ 100 Pa and &lt; 1000 Pa</t>
  </si>
  <si>
    <t xml:space="preserve">TAB </t>
  </si>
  <si>
    <t>TAB</t>
  </si>
  <si>
    <r>
      <rPr>
        <b/>
        <sz val="10"/>
        <rFont val="Verdana"/>
        <family val="2"/>
      </rPr>
      <t>Elocal</t>
    </r>
    <r>
      <rPr>
        <b/>
        <sz val="8"/>
        <rFont val="Verdana"/>
        <family val="2"/>
      </rPr>
      <t>drip,roll,façade</t>
    </r>
    <r>
      <rPr>
        <sz val="10"/>
        <rFont val="Verdana"/>
        <family val="2"/>
      </rPr>
      <t xml:space="preserve"> = AREA</t>
    </r>
    <r>
      <rPr>
        <sz val="8"/>
        <rFont val="Verdana"/>
        <family val="2"/>
      </rPr>
      <t>façade</t>
    </r>
    <r>
      <rPr>
        <sz val="10"/>
        <rFont val="Verdana"/>
        <family val="2"/>
      </rPr>
      <t xml:space="preserve"> * Q</t>
    </r>
    <r>
      <rPr>
        <sz val="8"/>
        <rFont val="Verdana"/>
        <family val="2"/>
      </rPr>
      <t>application,product</t>
    </r>
    <r>
      <rPr>
        <sz val="10"/>
        <rFont val="Verdana"/>
        <family val="2"/>
      </rPr>
      <t xml:space="preserve"> * F</t>
    </r>
    <r>
      <rPr>
        <sz val="8"/>
        <rFont val="Verdana"/>
        <family val="2"/>
      </rPr>
      <t>ai</t>
    </r>
    <r>
      <rPr>
        <sz val="10"/>
        <rFont val="Verdana"/>
        <family val="2"/>
      </rPr>
      <t xml:space="preserve"> * RHO</t>
    </r>
    <r>
      <rPr>
        <sz val="8"/>
        <rFont val="Verdana"/>
        <family val="2"/>
      </rPr>
      <t>product</t>
    </r>
    <r>
      <rPr>
        <sz val="10"/>
        <rFont val="Verdana"/>
        <family val="2"/>
      </rPr>
      <t xml:space="preserve"> * F</t>
    </r>
    <r>
      <rPr>
        <sz val="8"/>
        <rFont val="Verdana"/>
        <family val="2"/>
      </rPr>
      <t xml:space="preserve">dripping </t>
    </r>
    <r>
      <rPr>
        <sz val="10"/>
        <rFont val="Verdana"/>
        <family val="2"/>
      </rPr>
      <t>*10</t>
    </r>
    <r>
      <rPr>
        <vertAlign val="superscript"/>
        <sz val="10"/>
        <rFont val="Verdana"/>
        <family val="2"/>
      </rPr>
      <t xml:space="preserve">-3 </t>
    </r>
  </si>
  <si>
    <r>
      <t>Elocal</t>
    </r>
    <r>
      <rPr>
        <sz val="8"/>
        <rFont val="Verdana"/>
        <family val="2"/>
      </rPr>
      <t>roll,façade,soil</t>
    </r>
  </si>
  <si>
    <r>
      <rPr>
        <b/>
        <sz val="10"/>
        <rFont val="Verdana"/>
        <family val="2"/>
      </rPr>
      <t>Elocal</t>
    </r>
    <r>
      <rPr>
        <b/>
        <sz val="8"/>
        <rFont val="Verdana"/>
        <family val="2"/>
      </rPr>
      <t xml:space="preserve">roll,façade,soil </t>
    </r>
    <r>
      <rPr>
        <sz val="10"/>
        <rFont val="Verdana"/>
        <family val="2"/>
      </rPr>
      <t>= n</t>
    </r>
    <r>
      <rPr>
        <vertAlign val="subscript"/>
        <sz val="10"/>
        <rFont val="Verdana"/>
        <family val="2"/>
      </rPr>
      <t>houses_applic_countryside</t>
    </r>
    <r>
      <rPr>
        <sz val="10"/>
        <rFont val="Verdana"/>
        <family val="2"/>
      </rPr>
      <t xml:space="preserve"> * Elocal</t>
    </r>
    <r>
      <rPr>
        <sz val="8"/>
        <rFont val="Verdana"/>
        <family val="2"/>
      </rPr>
      <t>drip,roll,façade</t>
    </r>
  </si>
  <si>
    <r>
      <t>Elocal</t>
    </r>
    <r>
      <rPr>
        <vertAlign val="subscript"/>
        <sz val="10"/>
        <rFont val="Verdana"/>
        <family val="2"/>
      </rPr>
      <t>soil,runoff,façade</t>
    </r>
  </si>
  <si>
    <r>
      <rPr>
        <b/>
        <sz val="10"/>
        <rFont val="Verdana"/>
        <family val="2"/>
      </rPr>
      <t>Elocal</t>
    </r>
    <r>
      <rPr>
        <b/>
        <vertAlign val="subscript"/>
        <sz val="10"/>
        <rFont val="Verdana"/>
        <family val="2"/>
      </rPr>
      <t>soil,spray_runoff,façade</t>
    </r>
    <r>
      <rPr>
        <b/>
        <sz val="10"/>
        <rFont val="Verdana"/>
        <family val="2"/>
      </rPr>
      <t xml:space="preserve"> </t>
    </r>
    <r>
      <rPr>
        <sz val="10"/>
        <rFont val="Verdana"/>
        <family val="2"/>
      </rPr>
      <t>= Elocal</t>
    </r>
    <r>
      <rPr>
        <vertAlign val="subscript"/>
        <sz val="10"/>
        <rFont val="Verdana"/>
        <family val="2"/>
      </rPr>
      <t xml:space="preserve">runoff,façade </t>
    </r>
    <r>
      <rPr>
        <sz val="10"/>
        <rFont val="Verdana"/>
        <family val="2"/>
      </rPr>
      <t>* n</t>
    </r>
    <r>
      <rPr>
        <vertAlign val="subscript"/>
        <sz val="10"/>
        <rFont val="Verdana"/>
        <family val="2"/>
      </rPr>
      <t>houses_applic_countryside</t>
    </r>
  </si>
  <si>
    <r>
      <t>Elocal</t>
    </r>
    <r>
      <rPr>
        <vertAlign val="subscript"/>
        <sz val="10"/>
        <rFont val="Verdana"/>
        <family val="2"/>
      </rPr>
      <t>soil,spray_drift,façade,tier1</t>
    </r>
  </si>
  <si>
    <r>
      <rPr>
        <b/>
        <sz val="10"/>
        <rFont val="Verdana"/>
        <family val="2"/>
      </rPr>
      <t>Elocal</t>
    </r>
    <r>
      <rPr>
        <b/>
        <vertAlign val="subscript"/>
        <sz val="10"/>
        <rFont val="Verdana"/>
        <family val="2"/>
      </rPr>
      <t>soil,spray_drift,façade,tier1</t>
    </r>
    <r>
      <rPr>
        <b/>
        <sz val="10"/>
        <rFont val="Verdana"/>
        <family val="2"/>
      </rPr>
      <t xml:space="preserve"> </t>
    </r>
    <r>
      <rPr>
        <sz val="10"/>
        <rFont val="Verdana"/>
        <family val="2"/>
      </rPr>
      <t>= Elocal</t>
    </r>
    <r>
      <rPr>
        <vertAlign val="subscript"/>
        <sz val="10"/>
        <rFont val="Verdana"/>
        <family val="2"/>
      </rPr>
      <t>spray_drift,façade,tier1</t>
    </r>
    <r>
      <rPr>
        <sz val="10"/>
        <rFont val="Verdana"/>
        <family val="2"/>
      </rPr>
      <t xml:space="preserve"> * n</t>
    </r>
    <r>
      <rPr>
        <vertAlign val="subscript"/>
        <sz val="10"/>
        <rFont val="Verdana"/>
        <family val="2"/>
      </rPr>
      <t>houses_applic_countryside</t>
    </r>
  </si>
  <si>
    <r>
      <t>Elocal</t>
    </r>
    <r>
      <rPr>
        <vertAlign val="subscript"/>
        <sz val="10"/>
        <rFont val="Verdana"/>
        <family val="2"/>
      </rPr>
      <t>soil,spray_drift,façade,tier2</t>
    </r>
  </si>
  <si>
    <r>
      <rPr>
        <b/>
        <sz val="10"/>
        <rFont val="Verdana"/>
        <family val="2"/>
      </rPr>
      <t>Elocal</t>
    </r>
    <r>
      <rPr>
        <b/>
        <vertAlign val="subscript"/>
        <sz val="10"/>
        <rFont val="Verdana"/>
        <family val="2"/>
      </rPr>
      <t>soil,spray_drift,façade,tier2</t>
    </r>
    <r>
      <rPr>
        <b/>
        <sz val="10"/>
        <rFont val="Verdana"/>
        <family val="2"/>
      </rPr>
      <t xml:space="preserve"> </t>
    </r>
    <r>
      <rPr>
        <sz val="10"/>
        <rFont val="Verdana"/>
        <family val="2"/>
      </rPr>
      <t>= Elocal</t>
    </r>
    <r>
      <rPr>
        <vertAlign val="subscript"/>
        <sz val="10"/>
        <rFont val="Verdana"/>
        <family val="2"/>
      </rPr>
      <t>spray_drift,façade,tier2</t>
    </r>
    <r>
      <rPr>
        <sz val="10"/>
        <rFont val="Verdana"/>
        <family val="2"/>
      </rPr>
      <t xml:space="preserve"> * n</t>
    </r>
    <r>
      <rPr>
        <vertAlign val="subscript"/>
        <sz val="10"/>
        <rFont val="Verdana"/>
        <family val="2"/>
      </rPr>
      <t>houses_applic_countryside</t>
    </r>
  </si>
  <si>
    <r>
      <t>If information on the density of the product is not available, the default value of 1000 kg.m</t>
    </r>
    <r>
      <rPr>
        <vertAlign val="superscript"/>
        <sz val="10"/>
        <color theme="1"/>
        <rFont val="Verdana"/>
        <family val="2"/>
      </rPr>
      <t>-3</t>
    </r>
    <r>
      <rPr>
        <sz val="10"/>
        <color theme="1"/>
        <rFont val="Verdana"/>
        <family val="2"/>
      </rPr>
      <t xml:space="preserve"> can be used.</t>
    </r>
  </si>
  <si>
    <r>
      <t>Elocal</t>
    </r>
    <r>
      <rPr>
        <vertAlign val="subscript"/>
        <sz val="10"/>
        <rFont val="Verdana"/>
        <family val="2"/>
      </rPr>
      <t>soil,TIME1</t>
    </r>
  </si>
  <si>
    <r>
      <rPr>
        <b/>
        <sz val="10"/>
        <rFont val="Verdana"/>
        <family val="2"/>
      </rPr>
      <t>Elocal</t>
    </r>
    <r>
      <rPr>
        <b/>
        <sz val="8"/>
        <rFont val="Verdana"/>
        <family val="2"/>
      </rPr>
      <t xml:space="preserve">soil, TIME1 </t>
    </r>
    <r>
      <rPr>
        <sz val="10"/>
        <rFont val="Verdana"/>
        <family val="2"/>
      </rPr>
      <t>= Q</t>
    </r>
    <r>
      <rPr>
        <sz val="8"/>
        <rFont val="Verdana"/>
        <family val="2"/>
      </rPr>
      <t>leach, time1</t>
    </r>
    <r>
      <rPr>
        <sz val="10"/>
        <rFont val="Verdana"/>
        <family val="2"/>
      </rPr>
      <t xml:space="preserve"> * AREA</t>
    </r>
    <r>
      <rPr>
        <sz val="8"/>
        <rFont val="Verdana"/>
        <family val="2"/>
      </rPr>
      <t>facade</t>
    </r>
    <r>
      <rPr>
        <sz val="10"/>
        <rFont val="Verdana"/>
        <family val="2"/>
      </rPr>
      <t xml:space="preserve"> / TIME 1</t>
    </r>
  </si>
  <si>
    <r>
      <t>Elocal</t>
    </r>
    <r>
      <rPr>
        <vertAlign val="subscript"/>
        <sz val="10"/>
        <rFont val="Verdana"/>
        <family val="2"/>
      </rPr>
      <t>soil,TIME2</t>
    </r>
  </si>
  <si>
    <r>
      <rPr>
        <b/>
        <sz val="10"/>
        <rFont val="Verdana"/>
        <family val="2"/>
      </rPr>
      <t>Elocal</t>
    </r>
    <r>
      <rPr>
        <b/>
        <sz val="8"/>
        <rFont val="Verdana"/>
        <family val="2"/>
      </rPr>
      <t xml:space="preserve">soil, TIME2 </t>
    </r>
    <r>
      <rPr>
        <sz val="10"/>
        <rFont val="Verdana"/>
        <family val="2"/>
      </rPr>
      <t>= Q</t>
    </r>
    <r>
      <rPr>
        <sz val="8"/>
        <rFont val="Verdana"/>
        <family val="2"/>
      </rPr>
      <t>leach, time2</t>
    </r>
    <r>
      <rPr>
        <sz val="10"/>
        <rFont val="Verdana"/>
        <family val="2"/>
      </rPr>
      <t xml:space="preserve"> * AREA</t>
    </r>
    <r>
      <rPr>
        <sz val="8"/>
        <rFont val="Verdana"/>
        <family val="2"/>
      </rPr>
      <t>facade</t>
    </r>
    <r>
      <rPr>
        <sz val="10"/>
        <rFont val="Verdana"/>
        <family val="2"/>
      </rPr>
      <t xml:space="preserve"> / TIME 2</t>
    </r>
  </si>
  <si>
    <r>
      <t>Elocal</t>
    </r>
    <r>
      <rPr>
        <vertAlign val="subscript"/>
        <sz val="10"/>
        <rFont val="Verdana"/>
        <family val="2"/>
      </rPr>
      <t>soil,TIME3</t>
    </r>
  </si>
  <si>
    <r>
      <rPr>
        <b/>
        <sz val="10"/>
        <rFont val="Verdana"/>
        <family val="2"/>
      </rPr>
      <t>Elocalsoil</t>
    </r>
    <r>
      <rPr>
        <b/>
        <sz val="8"/>
        <rFont val="Verdana"/>
        <family val="2"/>
      </rPr>
      <t xml:space="preserve">, TIME3 </t>
    </r>
    <r>
      <rPr>
        <sz val="10"/>
        <rFont val="Verdana"/>
        <family val="2"/>
      </rPr>
      <t>= Q</t>
    </r>
    <r>
      <rPr>
        <sz val="8"/>
        <rFont val="Verdana"/>
        <family val="2"/>
      </rPr>
      <t>leach, time3</t>
    </r>
    <r>
      <rPr>
        <sz val="10"/>
        <rFont val="Verdana"/>
        <family val="2"/>
      </rPr>
      <t xml:space="preserve"> * AREA</t>
    </r>
    <r>
      <rPr>
        <sz val="8"/>
        <rFont val="Verdana"/>
        <family val="2"/>
      </rPr>
      <t>facade</t>
    </r>
    <r>
      <rPr>
        <sz val="10"/>
        <rFont val="Verdana"/>
        <family val="2"/>
      </rPr>
      <t xml:space="preserve"> / TIME 3</t>
    </r>
  </si>
  <si>
    <t xml:space="preserve">Soil water partition coefficient </t>
  </si>
  <si>
    <r>
      <t>K</t>
    </r>
    <r>
      <rPr>
        <vertAlign val="subscript"/>
        <sz val="10"/>
        <rFont val="Verdana"/>
        <family val="2"/>
      </rPr>
      <t>soil-water</t>
    </r>
  </si>
  <si>
    <r>
      <t>m</t>
    </r>
    <r>
      <rPr>
        <vertAlign val="superscript"/>
        <sz val="10"/>
        <rFont val="Verdana"/>
        <family val="2"/>
      </rPr>
      <t>3</t>
    </r>
    <r>
      <rPr>
        <sz val="10"/>
        <rFont val="Verdana"/>
        <family val="2"/>
      </rPr>
      <t>.m</t>
    </r>
    <r>
      <rPr>
        <vertAlign val="superscript"/>
        <sz val="10"/>
        <rFont val="Verdana"/>
        <family val="2"/>
      </rPr>
      <t>-3</t>
    </r>
  </si>
  <si>
    <t>Concentration in local soil after the initial assessment period</t>
  </si>
  <si>
    <t>Concentration in local soil over a longer duration</t>
  </si>
  <si>
    <r>
      <t>kg.kg</t>
    </r>
    <r>
      <rPr>
        <vertAlign val="subscript"/>
        <sz val="10"/>
        <color theme="1"/>
        <rFont val="Verdana"/>
        <family val="2"/>
      </rPr>
      <t>wwt</t>
    </r>
    <r>
      <rPr>
        <vertAlign val="superscript"/>
        <sz val="10"/>
        <color theme="1"/>
        <rFont val="Verdana"/>
        <family val="2"/>
      </rPr>
      <t>-1</t>
    </r>
  </si>
  <si>
    <r>
      <t>d</t>
    </r>
    <r>
      <rPr>
        <vertAlign val="superscript"/>
        <sz val="10"/>
        <rFont val="Verdana"/>
        <family val="2"/>
      </rPr>
      <t>-1</t>
    </r>
  </si>
  <si>
    <t>Total rate constant for degradation in bulk soil</t>
  </si>
  <si>
    <t>k</t>
  </si>
  <si>
    <r>
      <t>Clocal</t>
    </r>
    <r>
      <rPr>
        <vertAlign val="subscript"/>
        <sz val="10"/>
        <rFont val="Verdana"/>
        <family val="2"/>
      </rPr>
      <t>soil,TIME1</t>
    </r>
  </si>
  <si>
    <r>
      <t>kg.kg</t>
    </r>
    <r>
      <rPr>
        <vertAlign val="subscript"/>
        <sz val="10"/>
        <rFont val="Verdana"/>
        <family val="2"/>
      </rPr>
      <t>wwt</t>
    </r>
    <r>
      <rPr>
        <vertAlign val="superscript"/>
        <sz val="10"/>
        <rFont val="Verdana"/>
        <family val="2"/>
      </rPr>
      <t>-1</t>
    </r>
  </si>
  <si>
    <r>
      <rPr>
        <b/>
        <sz val="10"/>
        <rFont val="Verdana"/>
        <family val="2"/>
      </rPr>
      <t>Clocal</t>
    </r>
    <r>
      <rPr>
        <b/>
        <vertAlign val="subscript"/>
        <sz val="10"/>
        <rFont val="Verdana"/>
        <family val="2"/>
      </rPr>
      <t>soil,TIME1</t>
    </r>
    <r>
      <rPr>
        <sz val="10"/>
        <rFont val="Verdana"/>
        <family val="2"/>
      </rPr>
      <t xml:space="preserve"> = [E</t>
    </r>
    <r>
      <rPr>
        <vertAlign val="subscript"/>
        <sz val="10"/>
        <rFont val="Verdana"/>
        <family val="2"/>
      </rPr>
      <t>soil,leach,TIME1</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soil</t>
    </r>
    <r>
      <rPr>
        <sz val="10"/>
        <rFont val="Verdana"/>
        <family val="2"/>
      </rPr>
      <t xml:space="preserve"> * k)] - [E</t>
    </r>
    <r>
      <rPr>
        <vertAlign val="subscript"/>
        <sz val="10"/>
        <rFont val="Verdana"/>
        <family val="2"/>
      </rPr>
      <t>soil,leach,TIME1</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soil</t>
    </r>
    <r>
      <rPr>
        <sz val="10"/>
        <rFont val="Verdana"/>
        <family val="2"/>
      </rPr>
      <t xml:space="preserve"> * k)] * e</t>
    </r>
    <r>
      <rPr>
        <vertAlign val="superscript"/>
        <sz val="10"/>
        <rFont val="Verdana"/>
        <family val="2"/>
      </rPr>
      <t>-TIME1*k</t>
    </r>
  </si>
  <si>
    <r>
      <t>Clocal</t>
    </r>
    <r>
      <rPr>
        <vertAlign val="subscript"/>
        <sz val="10"/>
        <rFont val="Verdana"/>
        <family val="2"/>
      </rPr>
      <t>soil,TIME2</t>
    </r>
  </si>
  <si>
    <r>
      <rPr>
        <b/>
        <sz val="10"/>
        <rFont val="Verdana"/>
        <family val="2"/>
      </rPr>
      <t>Clocal</t>
    </r>
    <r>
      <rPr>
        <b/>
        <vertAlign val="subscript"/>
        <sz val="10"/>
        <rFont val="Verdana"/>
        <family val="2"/>
      </rPr>
      <t>soil,TIME2</t>
    </r>
    <r>
      <rPr>
        <sz val="10"/>
        <rFont val="Verdana"/>
        <family val="2"/>
      </rPr>
      <t xml:space="preserve"> = [E</t>
    </r>
    <r>
      <rPr>
        <vertAlign val="subscript"/>
        <sz val="10"/>
        <rFont val="Verdana"/>
        <family val="2"/>
      </rPr>
      <t>soil,leach,TIME2</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soil</t>
    </r>
    <r>
      <rPr>
        <sz val="10"/>
        <rFont val="Verdana"/>
        <family val="2"/>
      </rPr>
      <t xml:space="preserve"> * k)] - [E</t>
    </r>
    <r>
      <rPr>
        <vertAlign val="subscript"/>
        <sz val="10"/>
        <rFont val="Verdana"/>
        <family val="2"/>
      </rPr>
      <t>soil,leach,TIME2</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soil</t>
    </r>
    <r>
      <rPr>
        <sz val="10"/>
        <rFont val="Verdana"/>
        <family val="2"/>
      </rPr>
      <t xml:space="preserve"> * k)] * e</t>
    </r>
    <r>
      <rPr>
        <vertAlign val="superscript"/>
        <sz val="10"/>
        <rFont val="Verdana"/>
        <family val="2"/>
      </rPr>
      <t>-TIME2*k</t>
    </r>
  </si>
  <si>
    <r>
      <t>Clocal</t>
    </r>
    <r>
      <rPr>
        <vertAlign val="subscript"/>
        <sz val="10"/>
        <rFont val="Verdana"/>
        <family val="2"/>
      </rPr>
      <t>soil,TIME3</t>
    </r>
  </si>
  <si>
    <r>
      <rPr>
        <b/>
        <sz val="10"/>
        <rFont val="Verdana"/>
        <family val="2"/>
      </rPr>
      <t>Clocal</t>
    </r>
    <r>
      <rPr>
        <b/>
        <vertAlign val="subscript"/>
        <sz val="10"/>
        <rFont val="Verdana"/>
        <family val="2"/>
      </rPr>
      <t>soil,TIME3</t>
    </r>
    <r>
      <rPr>
        <sz val="10"/>
        <rFont val="Verdana"/>
        <family val="2"/>
      </rPr>
      <t xml:space="preserve"> = [E</t>
    </r>
    <r>
      <rPr>
        <vertAlign val="subscript"/>
        <sz val="10"/>
        <rFont val="Verdana"/>
        <family val="2"/>
      </rPr>
      <t>soil,leach,TIME3</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soil</t>
    </r>
    <r>
      <rPr>
        <sz val="10"/>
        <rFont val="Verdana"/>
        <family val="2"/>
      </rPr>
      <t xml:space="preserve"> * k)] - [E</t>
    </r>
    <r>
      <rPr>
        <vertAlign val="subscript"/>
        <sz val="10"/>
        <rFont val="Verdana"/>
        <family val="2"/>
      </rPr>
      <t>soil,leach,TIME3</t>
    </r>
    <r>
      <rPr>
        <sz val="10"/>
        <rFont val="Verdana"/>
        <family val="2"/>
      </rPr>
      <t>/(V</t>
    </r>
    <r>
      <rPr>
        <vertAlign val="subscript"/>
        <sz val="10"/>
        <rFont val="Verdana"/>
        <family val="2"/>
      </rPr>
      <t xml:space="preserve">soil </t>
    </r>
    <r>
      <rPr>
        <sz val="10"/>
        <rFont val="Verdana"/>
        <family val="2"/>
      </rPr>
      <t>* RHO</t>
    </r>
    <r>
      <rPr>
        <vertAlign val="subscript"/>
        <sz val="10"/>
        <rFont val="Verdana"/>
        <family val="2"/>
      </rPr>
      <t>soil</t>
    </r>
    <r>
      <rPr>
        <sz val="10"/>
        <rFont val="Verdana"/>
        <family val="2"/>
      </rPr>
      <t xml:space="preserve"> * k)] * e</t>
    </r>
    <r>
      <rPr>
        <vertAlign val="superscript"/>
        <sz val="10"/>
        <rFont val="Verdana"/>
        <family val="2"/>
      </rPr>
      <t>-TIME3*k</t>
    </r>
  </si>
  <si>
    <r>
      <t>Clocal</t>
    </r>
    <r>
      <rPr>
        <vertAlign val="subscript"/>
        <sz val="10"/>
        <rFont val="Verdana"/>
        <family val="2"/>
      </rPr>
      <t>pore,TIME1</t>
    </r>
  </si>
  <si>
    <r>
      <rPr>
        <b/>
        <sz val="10"/>
        <rFont val="Verdana"/>
        <family val="2"/>
      </rPr>
      <t>Clocal</t>
    </r>
    <r>
      <rPr>
        <b/>
        <vertAlign val="subscript"/>
        <sz val="10"/>
        <rFont val="Verdana"/>
        <family val="2"/>
      </rPr>
      <t>pore,TIME1</t>
    </r>
    <r>
      <rPr>
        <b/>
        <sz val="10"/>
        <rFont val="Verdana"/>
        <family val="2"/>
      </rPr>
      <t xml:space="preserve"> =</t>
    </r>
    <r>
      <rPr>
        <sz val="10"/>
        <rFont val="Verdana"/>
        <family val="2"/>
      </rPr>
      <t xml:space="preserve"> Clocal</t>
    </r>
    <r>
      <rPr>
        <vertAlign val="subscript"/>
        <sz val="10"/>
        <rFont val="Verdana"/>
        <family val="2"/>
      </rPr>
      <t>soil,TIME1</t>
    </r>
    <r>
      <rPr>
        <sz val="10"/>
        <rFont val="Verdana"/>
        <family val="2"/>
      </rPr>
      <t>*RHO</t>
    </r>
    <r>
      <rPr>
        <vertAlign val="subscript"/>
        <sz val="10"/>
        <rFont val="Verdana"/>
        <family val="2"/>
      </rPr>
      <t>soil</t>
    </r>
    <r>
      <rPr>
        <sz val="10"/>
        <rFont val="Verdana"/>
        <family val="2"/>
      </rPr>
      <t>*0.001/K</t>
    </r>
    <r>
      <rPr>
        <vertAlign val="subscript"/>
        <sz val="10"/>
        <rFont val="Verdana"/>
        <family val="2"/>
      </rPr>
      <t>soil-water</t>
    </r>
  </si>
  <si>
    <r>
      <t>Clocal</t>
    </r>
    <r>
      <rPr>
        <vertAlign val="subscript"/>
        <sz val="10"/>
        <rFont val="Verdana"/>
        <family val="2"/>
      </rPr>
      <t>pore,TIME2</t>
    </r>
  </si>
  <si>
    <r>
      <rPr>
        <b/>
        <sz val="10"/>
        <rFont val="Verdana"/>
        <family val="2"/>
      </rPr>
      <t>Clocal</t>
    </r>
    <r>
      <rPr>
        <b/>
        <vertAlign val="subscript"/>
        <sz val="10"/>
        <rFont val="Verdana"/>
        <family val="2"/>
      </rPr>
      <t>pore,TIME2</t>
    </r>
    <r>
      <rPr>
        <b/>
        <sz val="10"/>
        <rFont val="Verdana"/>
        <family val="2"/>
      </rPr>
      <t xml:space="preserve"> =</t>
    </r>
    <r>
      <rPr>
        <sz val="10"/>
        <rFont val="Verdana"/>
        <family val="2"/>
      </rPr>
      <t xml:space="preserve"> Clocal</t>
    </r>
    <r>
      <rPr>
        <vertAlign val="subscript"/>
        <sz val="10"/>
        <rFont val="Verdana"/>
        <family val="2"/>
      </rPr>
      <t>soil,TIME2</t>
    </r>
    <r>
      <rPr>
        <sz val="10"/>
        <rFont val="Verdana"/>
        <family val="2"/>
      </rPr>
      <t>*RHO</t>
    </r>
    <r>
      <rPr>
        <vertAlign val="subscript"/>
        <sz val="10"/>
        <rFont val="Verdana"/>
        <family val="2"/>
      </rPr>
      <t>soil</t>
    </r>
    <r>
      <rPr>
        <sz val="10"/>
        <rFont val="Verdana"/>
        <family val="2"/>
      </rPr>
      <t>*0.001/K</t>
    </r>
    <r>
      <rPr>
        <vertAlign val="subscript"/>
        <sz val="10"/>
        <rFont val="Verdana"/>
        <family val="2"/>
      </rPr>
      <t>soil-water</t>
    </r>
  </si>
  <si>
    <r>
      <t>Clocal</t>
    </r>
    <r>
      <rPr>
        <vertAlign val="subscript"/>
        <sz val="10"/>
        <rFont val="Verdana"/>
        <family val="2"/>
      </rPr>
      <t>pore,TIME3</t>
    </r>
  </si>
  <si>
    <r>
      <rPr>
        <b/>
        <sz val="10"/>
        <rFont val="Verdana"/>
        <family val="2"/>
      </rPr>
      <t>Clocal</t>
    </r>
    <r>
      <rPr>
        <b/>
        <vertAlign val="subscript"/>
        <sz val="10"/>
        <rFont val="Verdana"/>
        <family val="2"/>
      </rPr>
      <t>pore,TIME3</t>
    </r>
    <r>
      <rPr>
        <b/>
        <sz val="10"/>
        <rFont val="Verdana"/>
        <family val="2"/>
      </rPr>
      <t xml:space="preserve"> =</t>
    </r>
    <r>
      <rPr>
        <sz val="10"/>
        <rFont val="Verdana"/>
        <family val="2"/>
      </rPr>
      <t xml:space="preserve"> Clocal</t>
    </r>
    <r>
      <rPr>
        <vertAlign val="subscript"/>
        <sz val="10"/>
        <rFont val="Verdana"/>
        <family val="2"/>
      </rPr>
      <t>soil,TIME3</t>
    </r>
    <r>
      <rPr>
        <sz val="10"/>
        <rFont val="Verdana"/>
        <family val="2"/>
      </rPr>
      <t>*RHO</t>
    </r>
    <r>
      <rPr>
        <vertAlign val="subscript"/>
        <sz val="10"/>
        <rFont val="Verdana"/>
        <family val="2"/>
      </rPr>
      <t>soil</t>
    </r>
    <r>
      <rPr>
        <sz val="10"/>
        <rFont val="Verdana"/>
        <family val="2"/>
      </rPr>
      <t>*0.001/K</t>
    </r>
    <r>
      <rPr>
        <vertAlign val="subscript"/>
        <sz val="10"/>
        <rFont val="Verdana"/>
        <family val="2"/>
      </rPr>
      <t>soil-water</t>
    </r>
  </si>
  <si>
    <r>
      <t>kg.l</t>
    </r>
    <r>
      <rPr>
        <vertAlign val="superscript"/>
        <sz val="10"/>
        <rFont val="Verdana"/>
        <family val="2"/>
      </rPr>
      <t>-1</t>
    </r>
  </si>
  <si>
    <t>Local emission to freshwater during the initial assessment period</t>
  </si>
  <si>
    <t>Local emission to freshwater during the intermediate assessment period</t>
  </si>
  <si>
    <t>Local emission to freshwater during a longer assessment period</t>
  </si>
  <si>
    <r>
      <t>Elocal</t>
    </r>
    <r>
      <rPr>
        <vertAlign val="subscript"/>
        <sz val="10"/>
        <rFont val="Verdana"/>
        <family val="2"/>
      </rPr>
      <t>water,TIME1</t>
    </r>
  </si>
  <si>
    <r>
      <rPr>
        <b/>
        <sz val="10"/>
        <rFont val="Verdana"/>
        <family val="2"/>
      </rPr>
      <t>Elocal</t>
    </r>
    <r>
      <rPr>
        <b/>
        <sz val="8"/>
        <rFont val="Verdana"/>
        <family val="2"/>
      </rPr>
      <t xml:space="preserve">water, TIME1 </t>
    </r>
    <r>
      <rPr>
        <sz val="10"/>
        <rFont val="Verdana"/>
        <family val="2"/>
      </rPr>
      <t>= Q</t>
    </r>
    <r>
      <rPr>
        <sz val="8"/>
        <rFont val="Verdana"/>
        <family val="2"/>
      </rPr>
      <t>leach, time1</t>
    </r>
    <r>
      <rPr>
        <sz val="10"/>
        <rFont val="Verdana"/>
        <family val="2"/>
      </rPr>
      <t xml:space="preserve"> * AREA</t>
    </r>
    <r>
      <rPr>
        <sz val="8"/>
        <rFont val="Verdana"/>
        <family val="2"/>
      </rPr>
      <t>bridge</t>
    </r>
    <r>
      <rPr>
        <sz val="10"/>
        <rFont val="Verdana"/>
        <family val="2"/>
      </rPr>
      <t xml:space="preserve"> / TIME 1</t>
    </r>
  </si>
  <si>
    <r>
      <t>Elocal</t>
    </r>
    <r>
      <rPr>
        <vertAlign val="subscript"/>
        <sz val="10"/>
        <rFont val="Verdana"/>
        <family val="2"/>
      </rPr>
      <t>water,TIME2</t>
    </r>
  </si>
  <si>
    <r>
      <rPr>
        <b/>
        <sz val="10"/>
        <rFont val="Verdana"/>
        <family val="2"/>
      </rPr>
      <t>Elocal</t>
    </r>
    <r>
      <rPr>
        <b/>
        <sz val="8"/>
        <rFont val="Verdana"/>
        <family val="2"/>
      </rPr>
      <t xml:space="preserve">water, TIME2 </t>
    </r>
    <r>
      <rPr>
        <sz val="10"/>
        <rFont val="Verdana"/>
        <family val="2"/>
      </rPr>
      <t>= Q</t>
    </r>
    <r>
      <rPr>
        <sz val="8"/>
        <rFont val="Verdana"/>
        <family val="2"/>
      </rPr>
      <t>leach, time2</t>
    </r>
    <r>
      <rPr>
        <sz val="10"/>
        <rFont val="Verdana"/>
        <family val="2"/>
      </rPr>
      <t xml:space="preserve"> * AREA</t>
    </r>
    <r>
      <rPr>
        <sz val="8"/>
        <rFont val="Verdana"/>
        <family val="2"/>
      </rPr>
      <t>bridge</t>
    </r>
    <r>
      <rPr>
        <sz val="10"/>
        <rFont val="Verdana"/>
        <family val="2"/>
      </rPr>
      <t xml:space="preserve"> / TIME 2</t>
    </r>
  </si>
  <si>
    <r>
      <t>Elocal</t>
    </r>
    <r>
      <rPr>
        <vertAlign val="subscript"/>
        <sz val="10"/>
        <rFont val="Verdana"/>
        <family val="2"/>
      </rPr>
      <t>water,TIME3</t>
    </r>
  </si>
  <si>
    <r>
      <rPr>
        <b/>
        <sz val="10"/>
        <rFont val="Verdana"/>
        <family val="2"/>
      </rPr>
      <t>Elocal</t>
    </r>
    <r>
      <rPr>
        <b/>
        <sz val="8"/>
        <rFont val="Verdana"/>
        <family val="2"/>
      </rPr>
      <t xml:space="preserve">water, TIME3 </t>
    </r>
    <r>
      <rPr>
        <sz val="10"/>
        <rFont val="Verdana"/>
        <family val="2"/>
      </rPr>
      <t>= Q</t>
    </r>
    <r>
      <rPr>
        <sz val="8"/>
        <rFont val="Verdana"/>
        <family val="2"/>
      </rPr>
      <t>leach, time3</t>
    </r>
    <r>
      <rPr>
        <sz val="10"/>
        <rFont val="Verdana"/>
        <family val="2"/>
      </rPr>
      <t xml:space="preserve"> * AREA</t>
    </r>
    <r>
      <rPr>
        <sz val="8"/>
        <rFont val="Verdana"/>
        <family val="2"/>
      </rPr>
      <t>bridge</t>
    </r>
    <r>
      <rPr>
        <sz val="10"/>
        <rFont val="Verdana"/>
        <family val="2"/>
      </rPr>
      <t xml:space="preserve"> / TIME 3</t>
    </r>
  </si>
  <si>
    <r>
      <t>kg.m</t>
    </r>
    <r>
      <rPr>
        <vertAlign val="superscript"/>
        <sz val="10"/>
        <rFont val="Verdana"/>
        <family val="2"/>
      </rPr>
      <t>-3</t>
    </r>
  </si>
  <si>
    <r>
      <t xml:space="preserve">3. Based on the </t>
    </r>
    <r>
      <rPr>
        <b/>
        <sz val="10"/>
        <rFont val="Verdana"/>
        <family val="2"/>
      </rPr>
      <t>calculated TONNAGEregform</t>
    </r>
    <r>
      <rPr>
        <sz val="10"/>
        <rFont val="Verdana"/>
        <family val="2"/>
      </rPr>
      <t xml:space="preserve"> select the right range from the drop-down menu  (including option HPVC / non-HPVC, UC 10 or 45 / UC other than UC 10 and 45).</t>
    </r>
  </si>
  <si>
    <r>
      <t xml:space="preserve">Based on the </t>
    </r>
    <r>
      <rPr>
        <b/>
        <sz val="10"/>
        <color theme="1"/>
        <rFont val="Verdana"/>
        <family val="2"/>
      </rPr>
      <t>calculated TONNAGEreg</t>
    </r>
    <r>
      <rPr>
        <b/>
        <sz val="8"/>
        <color theme="1"/>
        <rFont val="Verdana"/>
        <family val="2"/>
      </rPr>
      <t>form</t>
    </r>
    <r>
      <rPr>
        <sz val="10"/>
        <color theme="1"/>
        <rFont val="Verdana"/>
        <family val="2"/>
      </rPr>
      <t xml:space="preserve"> select the right range from the drop-down menu  (including option HPVC / non-HPVC, UC 10 or 45 / UC other than UC 10 and 45)</t>
    </r>
  </si>
  <si>
    <t>Not volatile &lt; 1.3 Pa at 100°C</t>
  </si>
  <si>
    <t>≥ 1000 t/yr (non-HPVC, UC other than UC 10 and 45)</t>
  </si>
  <si>
    <t>Medium volatility: ≥ 13.3 Pa and &lt; 133 Pa at 100°C</t>
  </si>
  <si>
    <t>Low volatility: ≥ 1.3 Pa and &lt; 13.3 Pa at 100°C</t>
  </si>
  <si>
    <t>High volatility: ≥ 133 Pa at 100°C</t>
  </si>
  <si>
    <r>
      <t xml:space="preserve">Based on the </t>
    </r>
    <r>
      <rPr>
        <b/>
        <sz val="10"/>
        <color theme="1"/>
        <rFont val="Verdana"/>
        <family val="2"/>
      </rPr>
      <t>calculated TONNAGEreg</t>
    </r>
    <r>
      <rPr>
        <b/>
        <sz val="8"/>
        <color theme="1"/>
        <rFont val="Verdana"/>
        <family val="2"/>
      </rPr>
      <t>form</t>
    </r>
    <r>
      <rPr>
        <b/>
        <sz val="10"/>
        <color theme="1"/>
        <rFont val="Verdana"/>
        <family val="2"/>
      </rPr>
      <t xml:space="preserve"> </t>
    </r>
    <r>
      <rPr>
        <sz val="10"/>
        <color theme="1"/>
        <rFont val="Verdana"/>
        <family val="2"/>
      </rPr>
      <t>select the right range from the drop-down menu</t>
    </r>
  </si>
  <si>
    <r>
      <t xml:space="preserve">Based on the </t>
    </r>
    <r>
      <rPr>
        <b/>
        <sz val="10"/>
        <color theme="1"/>
        <rFont val="Verdana"/>
        <family val="2"/>
      </rPr>
      <t>calculated TONNAGEreg</t>
    </r>
    <r>
      <rPr>
        <b/>
        <sz val="8"/>
        <color theme="1"/>
        <rFont val="Verdana"/>
        <family val="2"/>
      </rPr>
      <t>form</t>
    </r>
    <r>
      <rPr>
        <sz val="10"/>
        <color theme="1"/>
        <rFont val="Verdana"/>
        <family val="2"/>
      </rPr>
      <t xml:space="preserve"> select the right range from the drop-down menu  (including option HPVC / non-HPVC, UC 6, 9, 10 or 31 / UC other than 6, 9, 10 or 31)</t>
    </r>
  </si>
  <si>
    <r>
      <t>3. Based on the</t>
    </r>
    <r>
      <rPr>
        <b/>
        <sz val="10"/>
        <rFont val="Verdana"/>
        <family val="2"/>
      </rPr>
      <t xml:space="preserve"> calculated TONNAGEregform</t>
    </r>
    <r>
      <rPr>
        <sz val="10"/>
        <rFont val="Verdana"/>
        <family val="2"/>
      </rPr>
      <t xml:space="preserve"> select the right range from the drop-down menu.</t>
    </r>
  </si>
  <si>
    <r>
      <t>Based on the</t>
    </r>
    <r>
      <rPr>
        <b/>
        <sz val="10"/>
        <color theme="1"/>
        <rFont val="Verdana"/>
        <family val="2"/>
      </rPr>
      <t xml:space="preserve"> calculated TONNAGEreg</t>
    </r>
    <r>
      <rPr>
        <b/>
        <sz val="8"/>
        <color theme="1"/>
        <rFont val="Verdana"/>
        <family val="2"/>
      </rPr>
      <t>form</t>
    </r>
    <r>
      <rPr>
        <b/>
        <sz val="10"/>
        <color theme="1"/>
        <rFont val="Verdana"/>
        <family val="2"/>
      </rPr>
      <t xml:space="preserve"> </t>
    </r>
    <r>
      <rPr>
        <sz val="10"/>
        <color theme="1"/>
        <rFont val="Verdana"/>
        <family val="2"/>
      </rPr>
      <t>select the right range from the drop-down menu</t>
    </r>
  </si>
  <si>
    <r>
      <t>F</t>
    </r>
    <r>
      <rPr>
        <sz val="8"/>
        <rFont val="Verdana"/>
        <family val="2"/>
      </rPr>
      <t>in-can</t>
    </r>
  </si>
  <si>
    <r>
      <t>F</t>
    </r>
    <r>
      <rPr>
        <sz val="8"/>
        <rFont val="Verdana"/>
        <family val="2"/>
      </rPr>
      <t>on site treatment</t>
    </r>
  </si>
  <si>
    <r>
      <t>F</t>
    </r>
    <r>
      <rPr>
        <sz val="8"/>
        <rFont val="Verdana"/>
        <family val="2"/>
      </rPr>
      <t>pen</t>
    </r>
  </si>
  <si>
    <r>
      <t xml:space="preserve">Based on the </t>
    </r>
    <r>
      <rPr>
        <b/>
        <sz val="10"/>
        <color theme="1"/>
        <rFont val="Verdana"/>
        <family val="2"/>
      </rPr>
      <t>calculated TONNAGEreg</t>
    </r>
    <r>
      <rPr>
        <b/>
        <sz val="8"/>
        <color theme="1"/>
        <rFont val="Verdana"/>
        <family val="2"/>
      </rPr>
      <t>form</t>
    </r>
    <r>
      <rPr>
        <b/>
        <sz val="10"/>
        <color theme="1"/>
        <rFont val="Verdana"/>
        <family val="2"/>
      </rPr>
      <t xml:space="preserve"> </t>
    </r>
    <r>
      <rPr>
        <sz val="10"/>
        <color theme="1"/>
        <rFont val="Verdana"/>
        <family val="2"/>
      </rPr>
      <t>select the right range from the drop-down menu  (including option HPVC / non-HPVC, UC 27, 28, others)</t>
    </r>
  </si>
  <si>
    <t>ESD for PT6: Emission scenario document for product type 6 - Preservatives for products during storage (ECHA, 2019, v 1.1)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</si>
</sst>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_(&quot;$&quot;* #,##0.00_);_(&quot;$&quot;* \(#,##0.00\);_(&quot;$&quot;* &quot;-&quot;??_);_(@_)"/>
  </numFmts>
  <fonts count="89" x14ac:knownFonts="1">
    <font>
      <sz val="10"/>
      <color theme="1"/>
      <name val="Verdana"/>
      <family val="2"/>
    </font>
    <font>
      <sz val="11"/>
      <color theme="1"/>
      <name val="Calibri"/>
      <family val="2"/>
      <scheme val="minor"/>
    </font>
    <font>
      <sz val="10"/>
      <color rgb="FF3F3F76"/>
      <name val="Verdana"/>
      <family val="2"/>
    </font>
    <font>
      <b/>
      <sz val="10"/>
      <color theme="0"/>
      <name val="Verdana"/>
      <family val="2"/>
    </font>
    <font>
      <b/>
      <sz val="10"/>
      <color theme="1"/>
      <name val="Verdana"/>
      <family val="2"/>
    </font>
    <font>
      <sz val="10"/>
      <name val="Verdana"/>
      <family val="2"/>
    </font>
    <font>
      <i/>
      <sz val="10"/>
      <color theme="1"/>
      <name val="Verdana"/>
      <family val="2"/>
    </font>
    <font>
      <i/>
      <sz val="10"/>
      <color rgb="FF0070C0"/>
      <name val="Verdana"/>
      <family val="2"/>
    </font>
    <font>
      <b/>
      <sz val="12"/>
      <color theme="0"/>
      <name val="Calibri"/>
      <family val="2"/>
      <scheme val="minor"/>
    </font>
    <font>
      <u/>
      <sz val="10"/>
      <color theme="10"/>
      <name val="Verdana"/>
      <family val="2"/>
    </font>
    <font>
      <u/>
      <sz val="10"/>
      <color theme="11"/>
      <name val="Verdana"/>
      <family val="2"/>
    </font>
    <font>
      <b/>
      <sz val="12"/>
      <color rgb="FFEFB011"/>
      <name val="Verdana"/>
      <family val="2"/>
    </font>
    <font>
      <b/>
      <sz val="15"/>
      <color theme="3"/>
      <name val="Verdana"/>
      <family val="2"/>
    </font>
    <font>
      <vertAlign val="superscript"/>
      <sz val="10"/>
      <color theme="1"/>
      <name val="Verdana"/>
      <family val="2"/>
    </font>
    <font>
      <vertAlign val="subscript"/>
      <sz val="10"/>
      <color theme="1"/>
      <name val="Verdana"/>
      <family val="2"/>
    </font>
    <font>
      <b/>
      <sz val="12"/>
      <color theme="0"/>
      <name val="Verdana"/>
      <family val="2"/>
    </font>
    <font>
      <i/>
      <vertAlign val="superscript"/>
      <sz val="10"/>
      <color rgb="FF0070C0"/>
      <name val="Verdana"/>
      <family val="2"/>
    </font>
    <font>
      <sz val="10"/>
      <name val="Arial"/>
      <family val="2"/>
    </font>
    <font>
      <b/>
      <sz val="11"/>
      <color theme="3"/>
      <name val="Verdana"/>
      <family val="2"/>
    </font>
    <font>
      <b/>
      <sz val="16"/>
      <color theme="3"/>
      <name val="Verdana"/>
      <family val="2"/>
    </font>
    <font>
      <sz val="11"/>
      <color theme="1"/>
      <name val="Verdana"/>
      <family val="2"/>
    </font>
    <font>
      <b/>
      <sz val="11"/>
      <color theme="1"/>
      <name val="Verdana"/>
      <family val="2"/>
    </font>
    <font>
      <b/>
      <sz val="14"/>
      <color theme="0"/>
      <name val="Verdana"/>
      <family val="2"/>
    </font>
    <font>
      <sz val="11"/>
      <name val="Verdana"/>
      <family val="2"/>
    </font>
    <font>
      <b/>
      <sz val="10"/>
      <color rgb="FFEFB011"/>
      <name val="Verdana"/>
      <family val="2"/>
    </font>
    <font>
      <b/>
      <sz val="11"/>
      <color rgb="FFFF0000"/>
      <name val="Verdana"/>
      <family val="2"/>
    </font>
    <font>
      <sz val="11"/>
      <color rgb="FFFF0000"/>
      <name val="Verdana"/>
      <family val="2"/>
    </font>
    <font>
      <b/>
      <sz val="10"/>
      <color rgb="FFFA7D00"/>
      <name val="Verdana"/>
      <family val="2"/>
    </font>
    <font>
      <b/>
      <sz val="14"/>
      <color theme="1"/>
      <name val="Verdana"/>
      <family val="2"/>
    </font>
    <font>
      <b/>
      <sz val="10"/>
      <name val="Verdana"/>
      <family val="2"/>
    </font>
    <font>
      <b/>
      <vertAlign val="superscript"/>
      <sz val="10"/>
      <color theme="1"/>
      <name val="Verdana"/>
      <family val="2"/>
    </font>
    <font>
      <b/>
      <sz val="10"/>
      <color rgb="FF3F3F3F"/>
      <name val="Verdana"/>
      <family val="2"/>
    </font>
    <font>
      <vertAlign val="superscript"/>
      <sz val="10"/>
      <name val="Verdana"/>
      <family val="2"/>
    </font>
    <font>
      <sz val="10"/>
      <color rgb="FFFF0000"/>
      <name val="Verdana"/>
      <family val="2"/>
    </font>
    <font>
      <b/>
      <sz val="10"/>
      <color rgb="FFFF0000"/>
      <name val="Verdana"/>
      <family val="2"/>
    </font>
    <font>
      <b/>
      <sz val="14"/>
      <color theme="3"/>
      <name val="Verdana"/>
      <family val="2"/>
    </font>
    <font>
      <i/>
      <sz val="10"/>
      <color rgb="FFFF0000"/>
      <name val="Verdana"/>
      <family val="2"/>
    </font>
    <font>
      <sz val="8"/>
      <color theme="1"/>
      <name val="Verdana"/>
      <family val="2"/>
    </font>
    <font>
      <b/>
      <sz val="8"/>
      <color theme="3"/>
      <name val="Verdana"/>
      <family val="2"/>
    </font>
    <font>
      <b/>
      <sz val="8"/>
      <color theme="1"/>
      <name val="Verdana"/>
      <family val="2"/>
    </font>
    <font>
      <sz val="8"/>
      <name val="Verdana"/>
      <family val="2"/>
    </font>
    <font>
      <b/>
      <sz val="12"/>
      <name val="Verdana"/>
      <family val="2"/>
    </font>
    <font>
      <sz val="11"/>
      <color theme="0"/>
      <name val="Verdana"/>
      <family val="2"/>
    </font>
    <font>
      <b/>
      <sz val="11"/>
      <color theme="0"/>
      <name val="Verdana"/>
      <family val="2"/>
    </font>
    <font>
      <b/>
      <sz val="11"/>
      <color theme="4" tint="-0.249977111117893"/>
      <name val="Verdana"/>
      <family val="2"/>
    </font>
    <font>
      <b/>
      <sz val="10"/>
      <color theme="4" tint="-0.249977111117893"/>
      <name val="Verdana"/>
      <family val="2"/>
    </font>
    <font>
      <b/>
      <sz val="8"/>
      <name val="Verdana"/>
      <family val="2"/>
    </font>
    <font>
      <i/>
      <sz val="10"/>
      <name val="Verdana"/>
      <family val="2"/>
    </font>
    <font>
      <u/>
      <sz val="10"/>
      <color theme="1"/>
      <name val="Verdana"/>
      <family val="2"/>
    </font>
    <font>
      <b/>
      <sz val="11"/>
      <name val="Verdana"/>
      <family val="2"/>
    </font>
    <font>
      <i/>
      <sz val="8"/>
      <color rgb="FF0070C0"/>
      <name val="Verdana"/>
      <family val="2"/>
    </font>
    <font>
      <b/>
      <i/>
      <sz val="10"/>
      <color rgb="FFFF0000"/>
      <name val="Verdana"/>
      <family val="2"/>
    </font>
    <font>
      <b/>
      <sz val="10"/>
      <color rgb="FF00B050"/>
      <name val="Verdana"/>
      <family val="2"/>
    </font>
    <font>
      <b/>
      <vertAlign val="subscript"/>
      <sz val="10"/>
      <name val="Verdana"/>
      <family val="2"/>
    </font>
    <font>
      <b/>
      <vertAlign val="subscript"/>
      <sz val="10"/>
      <color theme="1"/>
      <name val="Verdana"/>
      <family val="2"/>
    </font>
    <font>
      <u/>
      <sz val="11"/>
      <color theme="10"/>
      <name val="Verdana"/>
      <family val="2"/>
    </font>
    <font>
      <vertAlign val="subscript"/>
      <sz val="10"/>
      <name val="Verdana"/>
      <family val="2"/>
    </font>
    <font>
      <sz val="11"/>
      <color rgb="FF006100"/>
      <name val="Calibri"/>
      <family val="2"/>
      <scheme val="minor"/>
    </font>
    <font>
      <b/>
      <sz val="11"/>
      <color rgb="FFFA7D00"/>
      <name val="Calibri"/>
      <family val="2"/>
      <scheme val="minor"/>
    </font>
    <font>
      <b/>
      <sz val="11"/>
      <color theme="0"/>
      <name val="Calibri"/>
      <family val="2"/>
      <scheme val="minor"/>
    </font>
    <font>
      <sz val="8"/>
      <name val="Arial"/>
      <family val="2"/>
    </font>
    <font>
      <sz val="10"/>
      <color indexed="10"/>
      <name val="Arial"/>
      <family val="2"/>
    </font>
    <font>
      <sz val="10"/>
      <color indexed="8"/>
      <name val="Arial"/>
      <family val="2"/>
    </font>
    <font>
      <sz val="10"/>
      <color indexed="9"/>
      <name val="Arial"/>
      <family val="2"/>
    </font>
    <font>
      <sz val="11"/>
      <color indexed="8"/>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9"/>
      <color theme="1"/>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b/>
      <sz val="16"/>
      <color indexed="23"/>
      <name val="Arial"/>
      <family val="2"/>
    </font>
    <font>
      <sz val="19"/>
      <color indexed="48"/>
      <name val="Arial"/>
      <family val="2"/>
    </font>
    <font>
      <b/>
      <sz val="18"/>
      <color indexed="62"/>
      <name val="Cambria"/>
      <family val="2"/>
    </font>
    <font>
      <sz val="11"/>
      <color indexed="10"/>
      <name val="Calibri"/>
      <family val="2"/>
    </font>
    <font>
      <b/>
      <sz val="8"/>
      <name val="Arial"/>
      <family val="2"/>
    </font>
  </fonts>
  <fills count="84">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theme="0" tint="-0.14999847407452621"/>
        <bgColor indexed="64"/>
      </patternFill>
    </fill>
    <fill>
      <patternFill patternType="solid">
        <fgColor rgb="FFA5A5A5"/>
      </patternFill>
    </fill>
    <fill>
      <patternFill patternType="solid">
        <fgColor rgb="FF0070C0"/>
        <bgColor indexed="64"/>
      </patternFill>
    </fill>
    <fill>
      <patternFill patternType="solid">
        <fgColor theme="4" tint="0.79998168889431442"/>
        <bgColor indexed="64"/>
      </patternFill>
    </fill>
    <fill>
      <patternFill patternType="solid">
        <fgColor rgb="FFEFB011"/>
        <bgColor indexed="64"/>
      </patternFill>
    </fill>
    <fill>
      <patternFill patternType="solid">
        <fgColor theme="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
      <patternFill patternType="solid">
        <fgColor rgb="FFC6EFCE"/>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1"/>
        <bgColor indexed="64"/>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bgColor indexed="64"/>
      </patternFill>
    </fill>
    <fill>
      <patternFill patternType="solid">
        <fgColor indexed="43"/>
      </patternFill>
    </fill>
    <fill>
      <patternFill patternType="solid">
        <fgColor indexed="31"/>
        <bgColor indexed="64"/>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22"/>
        <bgColor indexed="35"/>
      </patternFill>
    </fill>
    <fill>
      <patternFill patternType="lightUp">
        <fgColor indexed="48"/>
        <bgColor indexed="41"/>
      </patternFill>
    </fill>
    <fill>
      <patternFill patternType="solid">
        <fgColor indexed="35"/>
        <bgColor indexed="64"/>
      </patternFill>
    </fill>
    <fill>
      <patternFill patternType="solid">
        <fgColor indexed="54"/>
        <bgColor indexed="64"/>
      </patternFill>
    </fill>
    <fill>
      <patternFill patternType="solid">
        <fgColor indexed="41"/>
      </patternFill>
    </fill>
    <fill>
      <patternFill patternType="solid">
        <fgColor indexed="23"/>
        <bgColor indexed="64"/>
      </patternFill>
    </fill>
    <fill>
      <patternFill patternType="solid">
        <fgColor indexed="40"/>
        <bgColor indexed="64"/>
      </patternFill>
    </fill>
    <fill>
      <patternFill patternType="solid">
        <fgColor indexed="44"/>
        <bgColor indexed="64"/>
      </patternFill>
    </fill>
    <fill>
      <patternFill patternType="solid">
        <fgColor indexed="26"/>
        <bgColor indexed="64"/>
      </patternFill>
    </fill>
    <fill>
      <patternFill patternType="solid">
        <fgColor indexed="15"/>
      </patternFill>
    </fill>
    <fill>
      <patternFill patternType="solid">
        <fgColor indexed="57"/>
        <bgColor indexed="57"/>
      </patternFill>
    </fill>
    <fill>
      <patternFill patternType="solid">
        <fgColor indexed="18"/>
        <bgColor indexed="18"/>
      </patternFill>
    </fill>
    <fill>
      <patternFill patternType="solid">
        <fgColor indexed="58"/>
        <bgColor indexed="58"/>
      </patternFill>
    </fill>
    <fill>
      <patternFill patternType="solid">
        <fgColor indexed="53"/>
        <bgColor indexed="53"/>
      </patternFill>
    </fill>
    <fill>
      <patternFill patternType="solid">
        <fgColor indexed="20"/>
      </patternFill>
    </fill>
  </fills>
  <borders count="37">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n">
        <color indexed="64"/>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right/>
      <top style="thin">
        <color indexed="48"/>
      </top>
      <bottom style="double">
        <color indexed="48"/>
      </bottom>
      <diagonal/>
    </border>
    <border>
      <left style="thin">
        <color indexed="54"/>
      </left>
      <right/>
      <top style="thin">
        <color indexed="54"/>
      </top>
      <bottom/>
      <diagonal/>
    </border>
  </borders>
  <cellStyleXfs count="319">
    <xf numFmtId="0" fontId="0" fillId="0" borderId="0"/>
    <xf numFmtId="0" fontId="2" fillId="2" borderId="1" applyNumberFormat="0" applyAlignment="0" applyProtection="0"/>
    <xf numFmtId="0" fontId="8" fillId="6" borderId="2"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2" fillId="0" borderId="4" applyNumberFormat="0" applyFill="0" applyAlignment="0" applyProtection="0"/>
    <xf numFmtId="0" fontId="17" fillId="0" borderId="0"/>
    <xf numFmtId="0" fontId="17" fillId="0" borderId="0"/>
    <xf numFmtId="0" fontId="9" fillId="0" borderId="0" applyNumberFormat="0" applyFill="0" applyBorder="0" applyAlignment="0" applyProtection="0"/>
    <xf numFmtId="0" fontId="18" fillId="0" borderId="0" applyNumberFormat="0" applyFill="0" applyBorder="0" applyAlignment="0" applyProtection="0"/>
    <xf numFmtId="0" fontId="27" fillId="3" borderId="1" applyNumberFormat="0" applyAlignment="0" applyProtection="0"/>
    <xf numFmtId="0" fontId="31" fillId="3" borderId="6" applyNumberFormat="0" applyAlignment="0" applyProtection="0"/>
    <xf numFmtId="0" fontId="27" fillId="3" borderId="1" applyNumberFormat="0" applyAlignment="0" applyProtection="0"/>
    <xf numFmtId="0" fontId="58" fillId="3" borderId="1" applyNumberFormat="0" applyAlignment="0" applyProtection="0"/>
    <xf numFmtId="0" fontId="1" fillId="0" borderId="0"/>
    <xf numFmtId="9" fontId="17" fillId="0" borderId="0" applyFont="0" applyFill="0" applyBorder="0" applyAlignment="0" applyProtection="0"/>
    <xf numFmtId="0" fontId="17" fillId="0" borderId="0"/>
    <xf numFmtId="0" fontId="62" fillId="29" borderId="0" applyNumberFormat="0" applyBorder="0" applyAlignment="0" applyProtection="0"/>
    <xf numFmtId="0" fontId="1" fillId="16" borderId="0" applyNumberFormat="0" applyBorder="0" applyAlignment="0" applyProtection="0"/>
    <xf numFmtId="0" fontId="62" fillId="30" borderId="0" applyNumberFormat="0" applyBorder="0" applyAlignment="0" applyProtection="0"/>
    <xf numFmtId="0" fontId="1" fillId="18" borderId="0" applyNumberFormat="0" applyBorder="0" applyAlignment="0" applyProtection="0"/>
    <xf numFmtId="0" fontId="62" fillId="31" borderId="0" applyNumberFormat="0" applyBorder="0" applyAlignment="0" applyProtection="0"/>
    <xf numFmtId="0" fontId="1" fillId="20" borderId="0" applyNumberFormat="0" applyBorder="0" applyAlignment="0" applyProtection="0"/>
    <xf numFmtId="0" fontId="62" fillId="32" borderId="0" applyNumberFormat="0" applyBorder="0" applyAlignment="0" applyProtection="0"/>
    <xf numFmtId="0" fontId="1" fillId="22" borderId="0" applyNumberFormat="0" applyBorder="0" applyAlignment="0" applyProtection="0"/>
    <xf numFmtId="0" fontId="62" fillId="33" borderId="0" applyNumberFormat="0" applyBorder="0" applyAlignment="0" applyProtection="0"/>
    <xf numFmtId="0" fontId="1" fillId="24" borderId="0" applyNumberFormat="0" applyBorder="0" applyAlignment="0" applyProtection="0"/>
    <xf numFmtId="0" fontId="62" fillId="34" borderId="0" applyNumberFormat="0" applyBorder="0" applyAlignment="0" applyProtection="0"/>
    <xf numFmtId="0" fontId="1" fillId="26" borderId="0" applyNumberFormat="0" applyBorder="0" applyAlignment="0" applyProtection="0"/>
    <xf numFmtId="0" fontId="62" fillId="35" borderId="0" applyNumberFormat="0" applyBorder="0" applyAlignment="0" applyProtection="0"/>
    <xf numFmtId="0" fontId="1" fillId="17" borderId="0" applyNumberFormat="0" applyBorder="0" applyAlignment="0" applyProtection="0"/>
    <xf numFmtId="0" fontId="62" fillId="30" borderId="0" applyNumberFormat="0" applyBorder="0" applyAlignment="0" applyProtection="0"/>
    <xf numFmtId="0" fontId="1" fillId="19" borderId="0" applyNumberFormat="0" applyBorder="0" applyAlignment="0" applyProtection="0"/>
    <xf numFmtId="0" fontId="62" fillId="36" borderId="0" applyNumberFormat="0" applyBorder="0" applyAlignment="0" applyProtection="0"/>
    <xf numFmtId="0" fontId="1" fillId="21" borderId="0" applyNumberFormat="0" applyBorder="0" applyAlignment="0" applyProtection="0"/>
    <xf numFmtId="0" fontId="62" fillId="37" borderId="0" applyNumberFormat="0" applyBorder="0" applyAlignment="0" applyProtection="0"/>
    <xf numFmtId="0" fontId="1" fillId="23" borderId="0" applyNumberFormat="0" applyBorder="0" applyAlignment="0" applyProtection="0"/>
    <xf numFmtId="0" fontId="62" fillId="35" borderId="0" applyNumberFormat="0" applyBorder="0" applyAlignment="0" applyProtection="0"/>
    <xf numFmtId="0" fontId="1" fillId="25" borderId="0" applyNumberFormat="0" applyBorder="0" applyAlignment="0" applyProtection="0"/>
    <xf numFmtId="0" fontId="62" fillId="38" borderId="0" applyNumberFormat="0" applyBorder="0" applyAlignment="0" applyProtection="0"/>
    <xf numFmtId="0" fontId="1" fillId="27" borderId="0" applyNumberFormat="0" applyBorder="0" applyAlignment="0" applyProtection="0"/>
    <xf numFmtId="0" fontId="63" fillId="35" borderId="0" applyNumberFormat="0" applyBorder="0" applyAlignment="0" applyProtection="0"/>
    <xf numFmtId="0" fontId="63" fillId="30" borderId="0" applyNumberFormat="0" applyBorder="0" applyAlignment="0" applyProtection="0"/>
    <xf numFmtId="0" fontId="63" fillId="36" borderId="0" applyNumberFormat="0" applyBorder="0" applyAlignment="0" applyProtection="0"/>
    <xf numFmtId="0" fontId="63" fillId="37" borderId="0" applyNumberFormat="0" applyBorder="0" applyAlignment="0" applyProtection="0"/>
    <xf numFmtId="0" fontId="63" fillId="35" borderId="0" applyNumberFormat="0" applyBorder="0" applyAlignment="0" applyProtection="0"/>
    <xf numFmtId="0" fontId="63" fillId="38" borderId="0" applyNumberFormat="0" applyBorder="0" applyAlignment="0" applyProtection="0"/>
    <xf numFmtId="0" fontId="64" fillId="39" borderId="0" applyNumberFormat="0" applyBorder="0" applyAlignment="0" applyProtection="0"/>
    <xf numFmtId="0" fontId="64" fillId="40" borderId="0" applyNumberFormat="0" applyBorder="0" applyAlignment="0" applyProtection="0"/>
    <xf numFmtId="0" fontId="65" fillId="41" borderId="0" applyNumberFormat="0" applyBorder="0" applyAlignment="0" applyProtection="0"/>
    <xf numFmtId="0" fontId="65" fillId="42" borderId="0" applyNumberFormat="0" applyBorder="0" applyAlignment="0" applyProtection="0"/>
    <xf numFmtId="0" fontId="64" fillId="43" borderId="0" applyNumberFormat="0" applyBorder="0" applyAlignment="0" applyProtection="0"/>
    <xf numFmtId="0" fontId="64"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4" fillId="47" borderId="0" applyNumberFormat="0" applyBorder="0" applyAlignment="0" applyProtection="0"/>
    <xf numFmtId="0" fontId="64" fillId="48" borderId="0" applyNumberFormat="0" applyBorder="0" applyAlignment="0" applyProtection="0"/>
    <xf numFmtId="0" fontId="65" fillId="49" borderId="0" applyNumberFormat="0" applyBorder="0" applyAlignment="0" applyProtection="0"/>
    <xf numFmtId="0" fontId="65" fillId="45" borderId="0" applyNumberFormat="0" applyBorder="0" applyAlignment="0" applyProtection="0"/>
    <xf numFmtId="0" fontId="64" fillId="48" borderId="0" applyNumberFormat="0" applyBorder="0" applyAlignment="0" applyProtection="0"/>
    <xf numFmtId="0" fontId="64" fillId="49" borderId="0" applyNumberFormat="0" applyBorder="0" applyAlignment="0" applyProtection="0"/>
    <xf numFmtId="0" fontId="65" fillId="49" borderId="0" applyNumberFormat="0" applyBorder="0" applyAlignment="0" applyProtection="0"/>
    <xf numFmtId="0" fontId="65" fillId="50" borderId="0" applyNumberFormat="0" applyBorder="0" applyAlignment="0" applyProtection="0"/>
    <xf numFmtId="0" fontId="64" fillId="39" borderId="0" applyNumberFormat="0" applyBorder="0" applyAlignment="0" applyProtection="0"/>
    <xf numFmtId="0" fontId="64" fillId="40" borderId="0" applyNumberFormat="0" applyBorder="0" applyAlignment="0" applyProtection="0"/>
    <xf numFmtId="0" fontId="65" fillId="40" borderId="0" applyNumberFormat="0" applyBorder="0" applyAlignment="0" applyProtection="0"/>
    <xf numFmtId="0" fontId="65" fillId="51" borderId="0" applyNumberFormat="0" applyBorder="0" applyAlignment="0" applyProtection="0"/>
    <xf numFmtId="0" fontId="64" fillId="52" borderId="0" applyNumberFormat="0" applyBorder="0" applyAlignment="0" applyProtection="0"/>
    <xf numFmtId="0" fontId="64" fillId="44" borderId="0" applyNumberFormat="0" applyBorder="0" applyAlignment="0" applyProtection="0"/>
    <xf numFmtId="0" fontId="65" fillId="53" borderId="0" applyNumberFormat="0" applyBorder="0" applyAlignment="0" applyProtection="0"/>
    <xf numFmtId="0" fontId="65" fillId="54" borderId="0" applyNumberFormat="0" applyBorder="0" applyAlignment="0" applyProtection="0"/>
    <xf numFmtId="0" fontId="66" fillId="44" borderId="0" applyNumberFormat="0" applyBorder="0" applyAlignment="0" applyProtection="0"/>
    <xf numFmtId="0" fontId="67" fillId="55" borderId="24" applyNumberFormat="0" applyAlignment="0" applyProtection="0"/>
    <xf numFmtId="0" fontId="68" fillId="45" borderId="25" applyNumberFormat="0" applyAlignment="0" applyProtection="0"/>
    <xf numFmtId="0" fontId="59" fillId="6" borderId="2" applyNumberFormat="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 fillId="0" borderId="0" applyFont="0" applyFill="0" applyBorder="0" applyAlignment="0" applyProtection="0"/>
    <xf numFmtId="164" fontId="17" fillId="0" borderId="0" applyFont="0" applyFill="0" applyBorder="0" applyAlignment="0" applyProtection="0"/>
    <xf numFmtId="165" fontId="1" fillId="0" borderId="0" applyFont="0" applyFill="0" applyBorder="0" applyAlignment="0" applyProtection="0"/>
    <xf numFmtId="0" fontId="69" fillId="56" borderId="0" applyNumberFormat="0" applyBorder="0" applyAlignment="0" applyProtection="0"/>
    <xf numFmtId="0" fontId="69" fillId="57" borderId="0" applyNumberFormat="0" applyBorder="0" applyAlignment="0" applyProtection="0"/>
    <xf numFmtId="0" fontId="69" fillId="58" borderId="0" applyNumberFormat="0" applyBorder="0" applyAlignment="0" applyProtection="0"/>
    <xf numFmtId="0" fontId="70" fillId="0" borderId="0" applyNumberFormat="0" applyFill="0" applyBorder="0" applyAlignment="0" applyProtection="0"/>
    <xf numFmtId="0" fontId="71" fillId="59" borderId="0" applyNumberFormat="0" applyBorder="0" applyAlignment="0" applyProtection="0"/>
    <xf numFmtId="0" fontId="57" fillId="14" borderId="0" applyNumberFormat="0" applyBorder="0" applyAlignment="0" applyProtection="0"/>
    <xf numFmtId="0" fontId="72" fillId="0" borderId="26" applyNumberFormat="0" applyFill="0" applyAlignment="0" applyProtection="0"/>
    <xf numFmtId="0" fontId="73" fillId="0" borderId="27" applyNumberFormat="0" applyFill="0" applyAlignment="0" applyProtection="0"/>
    <xf numFmtId="0" fontId="74" fillId="0" borderId="28" applyNumberFormat="0" applyFill="0" applyAlignment="0" applyProtection="0"/>
    <xf numFmtId="0" fontId="74" fillId="0" borderId="0" applyNumberFormat="0" applyFill="0" applyBorder="0" applyAlignment="0" applyProtection="0"/>
    <xf numFmtId="0" fontId="75" fillId="53" borderId="24" applyNumberFormat="0" applyAlignment="0" applyProtection="0"/>
    <xf numFmtId="0" fontId="17" fillId="0" borderId="0"/>
    <xf numFmtId="0" fontId="17" fillId="0" borderId="0"/>
    <xf numFmtId="0" fontId="17" fillId="0" borderId="0"/>
    <xf numFmtId="0" fontId="17" fillId="0" borderId="0"/>
    <xf numFmtId="0" fontId="76" fillId="0" borderId="29" applyNumberFormat="0" applyFill="0" applyAlignment="0" applyProtection="0"/>
    <xf numFmtId="0" fontId="77" fillId="53" borderId="0" applyNumberFormat="0" applyBorder="0" applyAlignment="0" applyProtection="0"/>
    <xf numFmtId="0" fontId="17" fillId="0" borderId="0"/>
    <xf numFmtId="0" fontId="17" fillId="0" borderId="0"/>
    <xf numFmtId="0" fontId="1" fillId="0" borderId="0"/>
    <xf numFmtId="0" fontId="17" fillId="0" borderId="0"/>
    <xf numFmtId="0" fontId="17" fillId="0" borderId="0"/>
    <xf numFmtId="0" fontId="78" fillId="0" borderId="0"/>
    <xf numFmtId="0" fontId="1" fillId="0" borderId="0"/>
    <xf numFmtId="0" fontId="78" fillId="0" borderId="0"/>
    <xf numFmtId="0" fontId="1" fillId="0" borderId="0"/>
    <xf numFmtId="0" fontId="17" fillId="0" borderId="0"/>
    <xf numFmtId="0" fontId="17" fillId="52" borderId="30" applyNumberFormat="0" applyFont="0" applyAlignment="0" applyProtection="0"/>
    <xf numFmtId="0" fontId="17" fillId="52" borderId="30" applyNumberFormat="0" applyFont="0" applyAlignment="0" applyProtection="0"/>
    <xf numFmtId="0" fontId="17" fillId="52" borderId="30" applyNumberFormat="0" applyFont="0" applyAlignment="0" applyProtection="0"/>
    <xf numFmtId="0" fontId="17" fillId="52" borderId="30" applyNumberFormat="0" applyFont="0" applyAlignment="0" applyProtection="0"/>
    <xf numFmtId="0" fontId="17" fillId="52" borderId="30" applyNumberFormat="0" applyFont="0" applyAlignment="0" applyProtection="0"/>
    <xf numFmtId="0" fontId="1" fillId="15" borderId="23" applyNumberFormat="0" applyFont="0" applyAlignment="0" applyProtection="0"/>
    <xf numFmtId="0" fontId="79" fillId="55" borderId="31" applyNumberFormat="0" applyAlignment="0" applyProtection="0"/>
    <xf numFmtId="4" fontId="62" fillId="60" borderId="31" applyNumberFormat="0" applyProtection="0">
      <alignment vertical="center"/>
    </xf>
    <xf numFmtId="4" fontId="80" fillId="61" borderId="32" applyNumberFormat="0" applyProtection="0">
      <alignment vertical="center"/>
    </xf>
    <xf numFmtId="4" fontId="81" fillId="60" borderId="32" applyNumberFormat="0" applyProtection="0">
      <alignment vertical="center"/>
    </xf>
    <xf numFmtId="4" fontId="81" fillId="61" borderId="32" applyNumberFormat="0" applyProtection="0">
      <alignment vertical="center"/>
    </xf>
    <xf numFmtId="4" fontId="62" fillId="60" borderId="31" applyNumberFormat="0" applyProtection="0">
      <alignment horizontal="left" vertical="center" indent="1"/>
    </xf>
    <xf numFmtId="4" fontId="80" fillId="61" borderId="32" applyNumberFormat="0" applyProtection="0">
      <alignment horizontal="left" vertical="center" indent="1"/>
    </xf>
    <xf numFmtId="0" fontId="80" fillId="60" borderId="32" applyNumberFormat="0" applyProtection="0">
      <alignment horizontal="left" vertical="top" indent="1"/>
    </xf>
    <xf numFmtId="0" fontId="80" fillId="61" borderId="32" applyNumberFormat="0" applyProtection="0">
      <alignment horizontal="left" vertical="top" indent="1"/>
    </xf>
    <xf numFmtId="0" fontId="17" fillId="62" borderId="31" applyNumberFormat="0" applyProtection="0">
      <alignment horizontal="left" vertical="center" indent="1"/>
    </xf>
    <xf numFmtId="0" fontId="17" fillId="62" borderId="31" applyNumberFormat="0" applyProtection="0">
      <alignment horizontal="left" vertical="center" indent="1"/>
    </xf>
    <xf numFmtId="0" fontId="17" fillId="62" borderId="31" applyNumberFormat="0" applyProtection="0">
      <alignment horizontal="left" vertical="center" indent="1"/>
    </xf>
    <xf numFmtId="0" fontId="17" fillId="62" borderId="31" applyNumberFormat="0" applyProtection="0">
      <alignment horizontal="left" vertical="center" indent="1"/>
    </xf>
    <xf numFmtId="0" fontId="17" fillId="62" borderId="31" applyNumberFormat="0" applyProtection="0">
      <alignment horizontal="left" vertical="center" indent="1"/>
    </xf>
    <xf numFmtId="4" fontId="80" fillId="0" borderId="0" applyNumberFormat="0" applyProtection="0">
      <alignment horizontal="left" vertical="center" indent="1"/>
    </xf>
    <xf numFmtId="4" fontId="62" fillId="34" borderId="32" applyNumberFormat="0" applyProtection="0">
      <alignment horizontal="right" vertical="center"/>
    </xf>
    <xf numFmtId="4" fontId="62" fillId="30" borderId="32" applyNumberFormat="0" applyProtection="0">
      <alignment horizontal="right" vertical="center"/>
    </xf>
    <xf numFmtId="4" fontId="62" fillId="63" borderId="32" applyNumberFormat="0" applyProtection="0">
      <alignment horizontal="right" vertical="center"/>
    </xf>
    <xf numFmtId="4" fontId="62" fillId="64" borderId="32" applyNumberFormat="0" applyProtection="0">
      <alignment horizontal="right" vertical="center"/>
    </xf>
    <xf numFmtId="4" fontId="62" fillId="65" borderId="32" applyNumberFormat="0" applyProtection="0">
      <alignment horizontal="right" vertical="center"/>
    </xf>
    <xf numFmtId="4" fontId="62" fillId="66" borderId="32" applyNumberFormat="0" applyProtection="0">
      <alignment horizontal="right" vertical="center"/>
    </xf>
    <xf numFmtId="4" fontId="62" fillId="36" borderId="32" applyNumberFormat="0" applyProtection="0">
      <alignment horizontal="right" vertical="center"/>
    </xf>
    <xf numFmtId="4" fontId="62" fillId="67" borderId="32" applyNumberFormat="0" applyProtection="0">
      <alignment horizontal="right" vertical="center"/>
    </xf>
    <xf numFmtId="4" fontId="62" fillId="68" borderId="32" applyNumberFormat="0" applyProtection="0">
      <alignment horizontal="right" vertical="center"/>
    </xf>
    <xf numFmtId="4" fontId="80" fillId="69" borderId="31" applyNumberFormat="0" applyProtection="0">
      <alignment horizontal="left" vertical="center" indent="1"/>
    </xf>
    <xf numFmtId="4" fontId="80" fillId="70" borderId="33" applyNumberFormat="0" applyProtection="0">
      <alignment horizontal="left" vertical="center" indent="1"/>
    </xf>
    <xf numFmtId="4" fontId="62" fillId="71" borderId="34" applyNumberFormat="0" applyProtection="0">
      <alignment horizontal="left" vertical="center" indent="1"/>
    </xf>
    <xf numFmtId="4" fontId="62" fillId="0" borderId="0" applyNumberFormat="0" applyProtection="0">
      <alignment horizontal="left" vertical="center" indent="1"/>
    </xf>
    <xf numFmtId="4" fontId="82" fillId="72" borderId="0" applyNumberFormat="0" applyProtection="0">
      <alignment horizontal="left" vertical="center" indent="1"/>
    </xf>
    <xf numFmtId="4" fontId="82" fillId="35" borderId="0" applyNumberFormat="0" applyProtection="0">
      <alignment horizontal="left" vertical="center" indent="1"/>
    </xf>
    <xf numFmtId="4" fontId="82" fillId="35" borderId="0" applyNumberFormat="0" applyProtection="0">
      <alignment horizontal="left" vertical="center" indent="1"/>
    </xf>
    <xf numFmtId="4" fontId="82" fillId="35" borderId="0" applyNumberFormat="0" applyProtection="0">
      <alignment horizontal="left" vertical="center" indent="1"/>
    </xf>
    <xf numFmtId="4" fontId="62" fillId="29" borderId="32" applyNumberFormat="0" applyProtection="0">
      <alignment horizontal="right" vertical="center"/>
    </xf>
    <xf numFmtId="4" fontId="62" fillId="71" borderId="31" applyNumberFormat="0" applyProtection="0">
      <alignment horizontal="left" vertical="center" indent="1"/>
    </xf>
    <xf numFmtId="4" fontId="62" fillId="71" borderId="31" applyNumberFormat="0" applyProtection="0">
      <alignment horizontal="left" vertical="center" indent="1"/>
    </xf>
    <xf numFmtId="4" fontId="62" fillId="73" borderId="0" applyNumberFormat="0" applyProtection="0">
      <alignment horizontal="left" vertical="center" indent="1"/>
    </xf>
    <xf numFmtId="4" fontId="62" fillId="73" borderId="0" applyNumberFormat="0" applyProtection="0">
      <alignment horizontal="left" vertical="center" indent="1"/>
    </xf>
    <xf numFmtId="4" fontId="62" fillId="73" borderId="0" applyNumberFormat="0" applyProtection="0">
      <alignment horizontal="left" vertical="center" indent="1"/>
    </xf>
    <xf numFmtId="4" fontId="62" fillId="74" borderId="31" applyNumberFormat="0" applyProtection="0">
      <alignment horizontal="left" vertical="center" indent="1"/>
    </xf>
    <xf numFmtId="4" fontId="62" fillId="74" borderId="31" applyNumberFormat="0" applyProtection="0">
      <alignment horizontal="left" vertical="center" indent="1"/>
    </xf>
    <xf numFmtId="4" fontId="62" fillId="29" borderId="0" applyNumberFormat="0" applyProtection="0">
      <alignment horizontal="left" vertical="center" indent="1"/>
    </xf>
    <xf numFmtId="4" fontId="62" fillId="29" borderId="0" applyNumberFormat="0" applyProtection="0">
      <alignment horizontal="left" vertical="center" indent="1"/>
    </xf>
    <xf numFmtId="4" fontId="62" fillId="29" borderId="0" applyNumberFormat="0" applyProtection="0">
      <alignment horizontal="left" vertical="center" indent="1"/>
    </xf>
    <xf numFmtId="0" fontId="17" fillId="72" borderId="32" applyNumberFormat="0" applyProtection="0">
      <alignment horizontal="left" vertical="center" indent="1"/>
    </xf>
    <xf numFmtId="0" fontId="17" fillId="72" borderId="32" applyNumberFormat="0" applyProtection="0">
      <alignment horizontal="left" vertical="center" indent="1"/>
    </xf>
    <xf numFmtId="0" fontId="17" fillId="72" borderId="32" applyNumberFormat="0" applyProtection="0">
      <alignment horizontal="left" vertical="center" indent="1"/>
    </xf>
    <xf numFmtId="0" fontId="17" fillId="72" borderId="32" applyNumberFormat="0" applyProtection="0">
      <alignment horizontal="left" vertical="center" indent="1"/>
    </xf>
    <xf numFmtId="0" fontId="17" fillId="72" borderId="32" applyNumberFormat="0" applyProtection="0">
      <alignment horizontal="left" vertical="center" indent="1"/>
    </xf>
    <xf numFmtId="0" fontId="17" fillId="35" borderId="32" applyNumberFormat="0" applyProtection="0">
      <alignment horizontal="left" vertical="center" indent="1"/>
    </xf>
    <xf numFmtId="0" fontId="17" fillId="35" borderId="32" applyNumberFormat="0" applyProtection="0">
      <alignment horizontal="left" vertical="center" indent="1"/>
    </xf>
    <xf numFmtId="0" fontId="17" fillId="35" borderId="32" applyNumberFormat="0" applyProtection="0">
      <alignment horizontal="left" vertical="center" indent="1"/>
    </xf>
    <xf numFmtId="0" fontId="17" fillId="35" borderId="32" applyNumberFormat="0" applyProtection="0">
      <alignment horizontal="left" vertical="center" indent="1"/>
    </xf>
    <xf numFmtId="0" fontId="17" fillId="72" borderId="32" applyNumberFormat="0" applyProtection="0">
      <alignment horizontal="left" vertical="top" indent="1"/>
    </xf>
    <xf numFmtId="0" fontId="17" fillId="72" borderId="32" applyNumberFormat="0" applyProtection="0">
      <alignment horizontal="left" vertical="top" indent="1"/>
    </xf>
    <xf numFmtId="0" fontId="17" fillId="72" borderId="32" applyNumberFormat="0" applyProtection="0">
      <alignment horizontal="left" vertical="top" indent="1"/>
    </xf>
    <xf numFmtId="0" fontId="17" fillId="72" borderId="32" applyNumberFormat="0" applyProtection="0">
      <alignment horizontal="left" vertical="top" indent="1"/>
    </xf>
    <xf numFmtId="0" fontId="17" fillId="72" borderId="32" applyNumberFormat="0" applyProtection="0">
      <alignment horizontal="left" vertical="top" indent="1"/>
    </xf>
    <xf numFmtId="0" fontId="17" fillId="0" borderId="32" applyNumberFormat="0" applyProtection="0">
      <alignment horizontal="left" vertical="top" indent="1"/>
    </xf>
    <xf numFmtId="0" fontId="17" fillId="0" borderId="32" applyNumberFormat="0" applyProtection="0">
      <alignment horizontal="left" vertical="top" indent="1"/>
    </xf>
    <xf numFmtId="0" fontId="17" fillId="0" borderId="32" applyNumberFormat="0" applyProtection="0">
      <alignment horizontal="left" vertical="top" indent="1"/>
    </xf>
    <xf numFmtId="0" fontId="17" fillId="0" borderId="32" applyNumberFormat="0" applyProtection="0">
      <alignment horizontal="left" vertical="top" indent="1"/>
    </xf>
    <xf numFmtId="0" fontId="17" fillId="75" borderId="32" applyNumberFormat="0" applyProtection="0">
      <alignment horizontal="left" vertical="center" indent="1"/>
    </xf>
    <xf numFmtId="0" fontId="17" fillId="75" borderId="32" applyNumberFormat="0" applyProtection="0">
      <alignment horizontal="left" vertical="center" indent="1"/>
    </xf>
    <xf numFmtId="0" fontId="17" fillId="75" borderId="32" applyNumberFormat="0" applyProtection="0">
      <alignment horizontal="left" vertical="center" indent="1"/>
    </xf>
    <xf numFmtId="0" fontId="17" fillId="75" borderId="32" applyNumberFormat="0" applyProtection="0">
      <alignment horizontal="left" vertical="center" indent="1"/>
    </xf>
    <xf numFmtId="0" fontId="17" fillId="75" borderId="32" applyNumberFormat="0" applyProtection="0">
      <alignment horizontal="left" vertical="center" indent="1"/>
    </xf>
    <xf numFmtId="0" fontId="17" fillId="29" borderId="32" applyNumberFormat="0" applyProtection="0">
      <alignment horizontal="left" vertical="center" indent="1"/>
    </xf>
    <xf numFmtId="0" fontId="17" fillId="29" borderId="32" applyNumberFormat="0" applyProtection="0">
      <alignment horizontal="left" vertical="center" indent="1"/>
    </xf>
    <xf numFmtId="0" fontId="17" fillId="29" borderId="32" applyNumberFormat="0" applyProtection="0">
      <alignment horizontal="left" vertical="center" indent="1"/>
    </xf>
    <xf numFmtId="0" fontId="17" fillId="29" borderId="32" applyNumberFormat="0" applyProtection="0">
      <alignment horizontal="left" vertical="center" indent="1"/>
    </xf>
    <xf numFmtId="0" fontId="17" fillId="75" borderId="32" applyNumberFormat="0" applyProtection="0">
      <alignment horizontal="left" vertical="top" indent="1"/>
    </xf>
    <xf numFmtId="0" fontId="17" fillId="75" borderId="32" applyNumberFormat="0" applyProtection="0">
      <alignment horizontal="left" vertical="top" indent="1"/>
    </xf>
    <xf numFmtId="0" fontId="17" fillId="75" borderId="32" applyNumberFormat="0" applyProtection="0">
      <alignment horizontal="left" vertical="top" indent="1"/>
    </xf>
    <xf numFmtId="0" fontId="17" fillId="75" borderId="32" applyNumberFormat="0" applyProtection="0">
      <alignment horizontal="left" vertical="top" indent="1"/>
    </xf>
    <xf numFmtId="0" fontId="17" fillId="75" borderId="32" applyNumberFormat="0" applyProtection="0">
      <alignment horizontal="left" vertical="top" indent="1"/>
    </xf>
    <xf numFmtId="0" fontId="17" fillId="29" borderId="32" applyNumberFormat="0" applyProtection="0">
      <alignment horizontal="left" vertical="top" indent="1"/>
    </xf>
    <xf numFmtId="0" fontId="17" fillId="29" borderId="32" applyNumberFormat="0" applyProtection="0">
      <alignment horizontal="left" vertical="top" indent="1"/>
    </xf>
    <xf numFmtId="0" fontId="17" fillId="29" borderId="32" applyNumberFormat="0" applyProtection="0">
      <alignment horizontal="left" vertical="top" indent="1"/>
    </xf>
    <xf numFmtId="0" fontId="17" fillId="29" borderId="32" applyNumberFormat="0" applyProtection="0">
      <alignment horizontal="left" vertical="top" indent="1"/>
    </xf>
    <xf numFmtId="0" fontId="17" fillId="76" borderId="32" applyNumberFormat="0" applyProtection="0">
      <alignment horizontal="left" vertical="center" indent="1"/>
    </xf>
    <xf numFmtId="0" fontId="17" fillId="76" borderId="32" applyNumberFormat="0" applyProtection="0">
      <alignment horizontal="left" vertical="center" indent="1"/>
    </xf>
    <xf numFmtId="0" fontId="17" fillId="76" borderId="32" applyNumberFormat="0" applyProtection="0">
      <alignment horizontal="left" vertical="center" indent="1"/>
    </xf>
    <xf numFmtId="0" fontId="17" fillId="76" borderId="32" applyNumberFormat="0" applyProtection="0">
      <alignment horizontal="left" vertical="center" indent="1"/>
    </xf>
    <xf numFmtId="0" fontId="17" fillId="76" borderId="32" applyNumberFormat="0" applyProtection="0">
      <alignment horizontal="left" vertical="center" indent="1"/>
    </xf>
    <xf numFmtId="0" fontId="17" fillId="33" borderId="32" applyNumberFormat="0" applyProtection="0">
      <alignment horizontal="left" vertical="center" indent="1"/>
    </xf>
    <xf numFmtId="0" fontId="17" fillId="33" borderId="32" applyNumberFormat="0" applyProtection="0">
      <alignment horizontal="left" vertical="center" indent="1"/>
    </xf>
    <xf numFmtId="0" fontId="17" fillId="33" borderId="32" applyNumberFormat="0" applyProtection="0">
      <alignment horizontal="left" vertical="center" indent="1"/>
    </xf>
    <xf numFmtId="0" fontId="17" fillId="33" borderId="32" applyNumberFormat="0" applyProtection="0">
      <alignment horizontal="left" vertical="center" indent="1"/>
    </xf>
    <xf numFmtId="0" fontId="17" fillId="76" borderId="32" applyNumberFormat="0" applyProtection="0">
      <alignment horizontal="left" vertical="top" indent="1"/>
    </xf>
    <xf numFmtId="0" fontId="17" fillId="76" borderId="32" applyNumberFormat="0" applyProtection="0">
      <alignment horizontal="left" vertical="top" indent="1"/>
    </xf>
    <xf numFmtId="0" fontId="17" fillId="76" borderId="32" applyNumberFormat="0" applyProtection="0">
      <alignment horizontal="left" vertical="top" indent="1"/>
    </xf>
    <xf numFmtId="0" fontId="17" fillId="76" borderId="32" applyNumberFormat="0" applyProtection="0">
      <alignment horizontal="left" vertical="top" indent="1"/>
    </xf>
    <xf numFmtId="0" fontId="17" fillId="76" borderId="32" applyNumberFormat="0" applyProtection="0">
      <alignment horizontal="left" vertical="top" indent="1"/>
    </xf>
    <xf numFmtId="0" fontId="17" fillId="33" borderId="32" applyNumberFormat="0" applyProtection="0">
      <alignment horizontal="left" vertical="top" indent="1"/>
    </xf>
    <xf numFmtId="0" fontId="17" fillId="33" borderId="32" applyNumberFormat="0" applyProtection="0">
      <alignment horizontal="left" vertical="top" indent="1"/>
    </xf>
    <xf numFmtId="0" fontId="17" fillId="33" borderId="32" applyNumberFormat="0" applyProtection="0">
      <alignment horizontal="left" vertical="top" indent="1"/>
    </xf>
    <xf numFmtId="0" fontId="17" fillId="33" borderId="32" applyNumberFormat="0" applyProtection="0">
      <alignment horizontal="left" vertical="top" indent="1"/>
    </xf>
    <xf numFmtId="0" fontId="17" fillId="28" borderId="32" applyNumberFormat="0" applyProtection="0">
      <alignment horizontal="left" vertical="center" indent="1"/>
    </xf>
    <xf numFmtId="0" fontId="17" fillId="28" borderId="32" applyNumberFormat="0" applyProtection="0">
      <alignment horizontal="left" vertical="center" indent="1"/>
    </xf>
    <xf numFmtId="0" fontId="17" fillId="28" borderId="32" applyNumberFormat="0" applyProtection="0">
      <alignment horizontal="left" vertical="center" indent="1"/>
    </xf>
    <xf numFmtId="0" fontId="17" fillId="28" borderId="32" applyNumberFormat="0" applyProtection="0">
      <alignment horizontal="left" vertical="center" indent="1"/>
    </xf>
    <xf numFmtId="0" fontId="17" fillId="28" borderId="32" applyNumberFormat="0" applyProtection="0">
      <alignment horizontal="left" vertical="center" indent="1"/>
    </xf>
    <xf numFmtId="0" fontId="17" fillId="73" borderId="32" applyNumberFormat="0" applyProtection="0">
      <alignment horizontal="left" vertical="center" indent="1"/>
    </xf>
    <xf numFmtId="0" fontId="17" fillId="73" borderId="32" applyNumberFormat="0" applyProtection="0">
      <alignment horizontal="left" vertical="center" indent="1"/>
    </xf>
    <xf numFmtId="0" fontId="17" fillId="73" borderId="32" applyNumberFormat="0" applyProtection="0">
      <alignment horizontal="left" vertical="center" indent="1"/>
    </xf>
    <xf numFmtId="0" fontId="17" fillId="73" borderId="32" applyNumberFormat="0" applyProtection="0">
      <alignment horizontal="left" vertical="center" indent="1"/>
    </xf>
    <xf numFmtId="0" fontId="17" fillId="28" borderId="32" applyNumberFormat="0" applyProtection="0">
      <alignment horizontal="left" vertical="top" indent="1"/>
    </xf>
    <xf numFmtId="0" fontId="17" fillId="28" borderId="32" applyNumberFormat="0" applyProtection="0">
      <alignment horizontal="left" vertical="top" indent="1"/>
    </xf>
    <xf numFmtId="0" fontId="17" fillId="28" borderId="32" applyNumberFormat="0" applyProtection="0">
      <alignment horizontal="left" vertical="top" indent="1"/>
    </xf>
    <xf numFmtId="0" fontId="17" fillId="28" borderId="32" applyNumberFormat="0" applyProtection="0">
      <alignment horizontal="left" vertical="top" indent="1"/>
    </xf>
    <xf numFmtId="0" fontId="17" fillId="28" borderId="32" applyNumberFormat="0" applyProtection="0">
      <alignment horizontal="left" vertical="top" indent="1"/>
    </xf>
    <xf numFmtId="0" fontId="17" fillId="73" borderId="32" applyNumberFormat="0" applyProtection="0">
      <alignment horizontal="left" vertical="top" indent="1"/>
    </xf>
    <xf numFmtId="0" fontId="17" fillId="73" borderId="32" applyNumberFormat="0" applyProtection="0">
      <alignment horizontal="left" vertical="top" indent="1"/>
    </xf>
    <xf numFmtId="0" fontId="17" fillId="73" borderId="32" applyNumberFormat="0" applyProtection="0">
      <alignment horizontal="left" vertical="top" indent="1"/>
    </xf>
    <xf numFmtId="0" fontId="17" fillId="73" borderId="32" applyNumberFormat="0" applyProtection="0">
      <alignment horizontal="left" vertical="top" indent="1"/>
    </xf>
    <xf numFmtId="0" fontId="17" fillId="32" borderId="5" applyNumberFormat="0">
      <protection locked="0"/>
    </xf>
    <xf numFmtId="0" fontId="17" fillId="32" borderId="5" applyNumberFormat="0">
      <protection locked="0"/>
    </xf>
    <xf numFmtId="0" fontId="17" fillId="32" borderId="5" applyNumberFormat="0">
      <protection locked="0"/>
    </xf>
    <xf numFmtId="0" fontId="17" fillId="32" borderId="5" applyNumberFormat="0">
      <protection locked="0"/>
    </xf>
    <xf numFmtId="0" fontId="17" fillId="32" borderId="5" applyNumberFormat="0">
      <protection locked="0"/>
    </xf>
    <xf numFmtId="4" fontId="62" fillId="77" borderId="32" applyNumberFormat="0" applyProtection="0">
      <alignment vertical="center"/>
    </xf>
    <xf numFmtId="4" fontId="62" fillId="31" borderId="32" applyNumberFormat="0" applyProtection="0">
      <alignment vertical="center"/>
    </xf>
    <xf numFmtId="4" fontId="83" fillId="77" borderId="32" applyNumberFormat="0" applyProtection="0">
      <alignment vertical="center"/>
    </xf>
    <xf numFmtId="4" fontId="83" fillId="31" borderId="32" applyNumberFormat="0" applyProtection="0">
      <alignment vertical="center"/>
    </xf>
    <xf numFmtId="4" fontId="62" fillId="77" borderId="32" applyNumberFormat="0" applyProtection="0">
      <alignment horizontal="left" vertical="center" indent="1"/>
    </xf>
    <xf numFmtId="4" fontId="62" fillId="31" borderId="32" applyNumberFormat="0" applyProtection="0">
      <alignment horizontal="left" vertical="center" indent="1"/>
    </xf>
    <xf numFmtId="0" fontId="62" fillId="77" borderId="32" applyNumberFormat="0" applyProtection="0">
      <alignment horizontal="left" vertical="top" indent="1"/>
    </xf>
    <xf numFmtId="0" fontId="62" fillId="31" borderId="32" applyNumberFormat="0" applyProtection="0">
      <alignment horizontal="left" vertical="top" indent="1"/>
    </xf>
    <xf numFmtId="4" fontId="62" fillId="71" borderId="31" applyNumberFormat="0" applyProtection="0">
      <alignment horizontal="right" vertical="center"/>
    </xf>
    <xf numFmtId="4" fontId="62" fillId="0" borderId="32" applyNumberFormat="0" applyProtection="0">
      <alignment horizontal="right" vertical="center"/>
    </xf>
    <xf numFmtId="4" fontId="83" fillId="73" borderId="32" applyNumberFormat="0" applyProtection="0">
      <alignment horizontal="right" vertical="center"/>
    </xf>
    <xf numFmtId="0" fontId="17" fillId="62" borderId="31" applyNumberFormat="0" applyProtection="0">
      <alignment horizontal="left" vertical="center" indent="1"/>
    </xf>
    <xf numFmtId="0" fontId="17" fillId="62" borderId="31" applyNumberFormat="0" applyProtection="0">
      <alignment horizontal="left" vertical="center" indent="1"/>
    </xf>
    <xf numFmtId="0" fontId="17" fillId="62" borderId="31" applyNumberFormat="0" applyProtection="0">
      <alignment horizontal="left" vertical="center" indent="1"/>
    </xf>
    <xf numFmtId="0" fontId="17" fillId="62" borderId="31" applyNumberFormat="0" applyProtection="0">
      <alignment horizontal="left" vertical="center" indent="1"/>
    </xf>
    <xf numFmtId="0" fontId="17" fillId="62" borderId="31" applyNumberFormat="0" applyProtection="0">
      <alignment horizontal="left" vertical="center" indent="1"/>
    </xf>
    <xf numFmtId="4" fontId="62" fillId="0" borderId="32" applyNumberFormat="0" applyProtection="0">
      <alignment horizontal="left" vertical="center" indent="1"/>
    </xf>
    <xf numFmtId="4" fontId="62" fillId="0" borderId="32" applyNumberFormat="0" applyProtection="0">
      <alignment horizontal="left" vertical="center" indent="1"/>
    </xf>
    <xf numFmtId="0" fontId="17" fillId="62" borderId="31" applyNumberFormat="0" applyProtection="0">
      <alignment horizontal="left" vertical="center" indent="1"/>
    </xf>
    <xf numFmtId="0" fontId="17" fillId="62" borderId="31" applyNumberFormat="0" applyProtection="0">
      <alignment horizontal="left" vertical="center" indent="1"/>
    </xf>
    <xf numFmtId="0" fontId="17" fillId="62" borderId="31" applyNumberFormat="0" applyProtection="0">
      <alignment horizontal="left" vertical="center" indent="1"/>
    </xf>
    <xf numFmtId="0" fontId="17" fillId="62" borderId="31" applyNumberFormat="0" applyProtection="0">
      <alignment horizontal="left" vertical="center" indent="1"/>
    </xf>
    <xf numFmtId="0" fontId="17" fillId="62" borderId="31" applyNumberFormat="0" applyProtection="0">
      <alignment horizontal="left" vertical="center" indent="1"/>
    </xf>
    <xf numFmtId="0" fontId="62" fillId="29" borderId="32" applyNumberFormat="0" applyProtection="0">
      <alignment horizontal="left" vertical="top" indent="1"/>
    </xf>
    <xf numFmtId="0" fontId="84" fillId="0" borderId="0"/>
    <xf numFmtId="4" fontId="85" fillId="78" borderId="0" applyNumberFormat="0" applyProtection="0">
      <alignment horizontal="left" vertical="center" indent="1"/>
    </xf>
    <xf numFmtId="4" fontId="85" fillId="78" borderId="0" applyNumberFormat="0" applyProtection="0">
      <alignment horizontal="left" vertical="center" indent="1"/>
    </xf>
    <xf numFmtId="4" fontId="85" fillId="78" borderId="0" applyNumberFormat="0" applyProtection="0">
      <alignment horizontal="left" vertical="center" indent="1"/>
    </xf>
    <xf numFmtId="4" fontId="61" fillId="73" borderId="32" applyNumberFormat="0" applyProtection="0">
      <alignment horizontal="right" vertical="center"/>
    </xf>
    <xf numFmtId="0" fontId="86" fillId="0" borderId="0" applyNumberFormat="0" applyFill="0" applyBorder="0" applyAlignment="0" applyProtection="0"/>
    <xf numFmtId="0" fontId="86" fillId="0" borderId="0" applyNumberFormat="0" applyFill="0" applyBorder="0" applyAlignment="0" applyProtection="0"/>
    <xf numFmtId="0" fontId="69" fillId="0" borderId="35" applyNumberFormat="0" applyFill="0" applyAlignment="0" applyProtection="0"/>
    <xf numFmtId="0" fontId="87" fillId="0" borderId="0" applyNumberFormat="0" applyFill="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79" borderId="0" applyNumberFormat="0" applyBorder="0" applyAlignment="0" applyProtection="0"/>
    <xf numFmtId="0" fontId="65" fillId="79" borderId="0" applyNumberFormat="0" applyBorder="0" applyAlignment="0" applyProtection="0"/>
    <xf numFmtId="0" fontId="65" fillId="79" borderId="0" applyNumberFormat="0" applyBorder="0" applyAlignment="0" applyProtection="0"/>
    <xf numFmtId="0" fontId="65" fillId="80" borderId="0" applyNumberFormat="0" applyBorder="0" applyAlignment="0" applyProtection="0"/>
    <xf numFmtId="0" fontId="65" fillId="80" borderId="0" applyNumberFormat="0" applyBorder="0" applyAlignment="0" applyProtection="0"/>
    <xf numFmtId="0" fontId="65" fillId="80" borderId="0" applyNumberFormat="0" applyBorder="0" applyAlignment="0" applyProtection="0"/>
    <xf numFmtId="0" fontId="65" fillId="81" borderId="0" applyNumberFormat="0" applyBorder="0" applyAlignment="0" applyProtection="0"/>
    <xf numFmtId="0" fontId="65" fillId="81" borderId="0" applyNumberFormat="0" applyBorder="0" applyAlignment="0" applyProtection="0"/>
    <xf numFmtId="0" fontId="65" fillId="81" borderId="0" applyNumberFormat="0" applyBorder="0" applyAlignment="0" applyProtection="0"/>
    <xf numFmtId="0" fontId="65" fillId="82" borderId="0" applyNumberFormat="0" applyBorder="0" applyAlignment="0" applyProtection="0"/>
    <xf numFmtId="0" fontId="65" fillId="82" borderId="0" applyNumberFormat="0" applyBorder="0" applyAlignment="0" applyProtection="0"/>
    <xf numFmtId="0" fontId="65" fillId="82" borderId="0" applyNumberFormat="0" applyBorder="0" applyAlignment="0" applyProtection="0"/>
    <xf numFmtId="0" fontId="88" fillId="35" borderId="36" applyBorder="0"/>
    <xf numFmtId="0" fontId="60" fillId="83" borderId="5"/>
    <xf numFmtId="0" fontId="1" fillId="0" borderId="0"/>
    <xf numFmtId="0" fontId="1" fillId="16"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1" borderId="0" applyNumberFormat="0" applyBorder="0" applyAlignment="0" applyProtection="0"/>
    <xf numFmtId="0" fontId="1" fillId="23" borderId="0" applyNumberFormat="0" applyBorder="0" applyAlignment="0" applyProtection="0"/>
    <xf numFmtId="0" fontId="1" fillId="25" borderId="0" applyNumberFormat="0" applyBorder="0" applyAlignment="0" applyProtection="0"/>
    <xf numFmtId="0" fontId="1" fillId="27" borderId="0" applyNumberFormat="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15" borderId="23" applyNumberFormat="0" applyFont="0" applyAlignment="0" applyProtection="0"/>
  </cellStyleXfs>
  <cellXfs count="482">
    <xf numFmtId="0" fontId="0" fillId="0" borderId="0" xfId="0"/>
    <xf numFmtId="0" fontId="0" fillId="4" borderId="0" xfId="0" applyFill="1"/>
    <xf numFmtId="0" fontId="0" fillId="4" borderId="0" xfId="0" applyFill="1" applyBorder="1"/>
    <xf numFmtId="0" fontId="0" fillId="4" borderId="0" xfId="0" applyFill="1" applyBorder="1" applyAlignment="1">
      <alignment horizontal="left"/>
    </xf>
    <xf numFmtId="0" fontId="0" fillId="4" borderId="0" xfId="0" applyFill="1" applyAlignment="1">
      <alignment vertical="center"/>
    </xf>
    <xf numFmtId="0" fontId="15" fillId="9" borderId="0" xfId="19" applyFont="1" applyFill="1" applyBorder="1" applyAlignment="1">
      <alignment vertical="center"/>
    </xf>
    <xf numFmtId="0" fontId="15" fillId="4" borderId="0" xfId="19" applyFont="1" applyFill="1" applyBorder="1" applyAlignment="1">
      <alignment vertical="center"/>
    </xf>
    <xf numFmtId="14" fontId="0" fillId="4" borderId="0" xfId="0" applyNumberFormat="1" applyFill="1"/>
    <xf numFmtId="0" fontId="0" fillId="4" borderId="0" xfId="0" applyFill="1" applyAlignment="1">
      <alignment wrapText="1"/>
    </xf>
    <xf numFmtId="0" fontId="20" fillId="4" borderId="0" xfId="0" applyFont="1" applyFill="1"/>
    <xf numFmtId="0" fontId="21" fillId="4" borderId="0" xfId="0" applyFont="1" applyFill="1" applyAlignment="1"/>
    <xf numFmtId="0" fontId="6" fillId="4" borderId="0" xfId="0" applyFont="1" applyFill="1"/>
    <xf numFmtId="0" fontId="22" fillId="9" borderId="0" xfId="19" applyFont="1" applyFill="1" applyBorder="1" applyAlignment="1">
      <alignment vertical="center"/>
    </xf>
    <xf numFmtId="0" fontId="28" fillId="9" borderId="0" xfId="0" applyFont="1" applyFill="1" applyAlignment="1">
      <alignment vertical="center"/>
    </xf>
    <xf numFmtId="0" fontId="4" fillId="5" borderId="3" xfId="0" applyFont="1" applyFill="1" applyBorder="1"/>
    <xf numFmtId="0" fontId="4" fillId="5" borderId="3" xfId="0" applyFont="1" applyFill="1" applyBorder="1" applyAlignment="1">
      <alignment horizontal="center" vertical="center" wrapText="1"/>
    </xf>
    <xf numFmtId="0" fontId="20" fillId="4" borderId="0" xfId="0" applyFont="1" applyFill="1" applyAlignment="1">
      <alignment vertical="center" wrapText="1"/>
    </xf>
    <xf numFmtId="0" fontId="20" fillId="4" borderId="0" xfId="0" applyFont="1" applyFill="1" applyBorder="1" applyAlignment="1">
      <alignment vertical="center"/>
    </xf>
    <xf numFmtId="0" fontId="20" fillId="4" borderId="0" xfId="0" applyFont="1" applyFill="1" applyAlignment="1">
      <alignment vertical="center"/>
    </xf>
    <xf numFmtId="0" fontId="23" fillId="4" borderId="0" xfId="18" applyFont="1" applyFill="1" applyBorder="1" applyAlignment="1">
      <alignment vertical="center"/>
    </xf>
    <xf numFmtId="0" fontId="19" fillId="4" borderId="0" xfId="17" applyFont="1" applyFill="1" applyBorder="1" applyAlignment="1">
      <alignment wrapText="1"/>
    </xf>
    <xf numFmtId="0" fontId="15" fillId="4" borderId="0" xfId="18" applyFont="1" applyFill="1" applyBorder="1" applyAlignment="1" applyProtection="1">
      <alignment vertical="center"/>
      <protection locked="0"/>
    </xf>
    <xf numFmtId="0" fontId="0" fillId="4" borderId="0" xfId="0" applyFill="1" applyBorder="1" applyAlignment="1" applyProtection="1">
      <alignment vertical="center"/>
      <protection locked="0"/>
    </xf>
    <xf numFmtId="0" fontId="25" fillId="4" borderId="0" xfId="21" applyFont="1" applyFill="1" applyBorder="1" applyAlignment="1" applyProtection="1">
      <alignment vertical="center"/>
      <protection locked="0"/>
    </xf>
    <xf numFmtId="0" fontId="0" fillId="4" borderId="0" xfId="0" applyFill="1" applyAlignment="1" applyProtection="1">
      <alignment vertical="center"/>
      <protection locked="0"/>
    </xf>
    <xf numFmtId="0" fontId="0" fillId="0" borderId="0" xfId="0" applyAlignment="1" applyProtection="1">
      <alignment vertical="center"/>
      <protection locked="0"/>
    </xf>
    <xf numFmtId="0" fontId="0" fillId="4" borderId="0" xfId="0" applyFont="1" applyFill="1" applyBorder="1" applyAlignment="1" applyProtection="1">
      <alignment vertical="center"/>
      <protection locked="0"/>
    </xf>
    <xf numFmtId="0" fontId="11" fillId="7" borderId="0" xfId="0" applyFont="1" applyFill="1" applyBorder="1" applyAlignment="1" applyProtection="1">
      <alignment vertical="center"/>
      <protection locked="0"/>
    </xf>
    <xf numFmtId="0" fontId="0" fillId="8" borderId="0" xfId="0" applyFill="1" applyBorder="1" applyAlignment="1" applyProtection="1">
      <alignment horizontal="center" vertical="center"/>
      <protection locked="0"/>
    </xf>
    <xf numFmtId="0" fontId="7" fillId="8" borderId="0" xfId="0" applyFont="1" applyFill="1" applyBorder="1" applyAlignment="1" applyProtection="1">
      <alignment horizontal="center" vertical="center"/>
      <protection locked="0"/>
    </xf>
    <xf numFmtId="0" fontId="0" fillId="8" borderId="0" xfId="0" applyFill="1" applyBorder="1" applyAlignment="1" applyProtection="1">
      <alignment vertical="center" wrapText="1"/>
      <protection locked="0"/>
    </xf>
    <xf numFmtId="0" fontId="5" fillId="9" borderId="5" xfId="1" applyFont="1" applyFill="1" applyBorder="1" applyAlignment="1" applyProtection="1">
      <alignment horizontal="center" vertical="center"/>
      <protection locked="0"/>
    </xf>
    <xf numFmtId="0" fontId="5" fillId="8" borderId="0" xfId="0" applyFont="1" applyFill="1" applyBorder="1" applyAlignment="1" applyProtection="1">
      <alignment horizontal="left" vertical="center" wrapText="1"/>
      <protection locked="0"/>
    </xf>
    <xf numFmtId="0" fontId="0" fillId="8" borderId="0" xfId="0" applyFill="1" applyBorder="1" applyAlignment="1" applyProtection="1">
      <alignment vertical="center"/>
      <protection locked="0"/>
    </xf>
    <xf numFmtId="0" fontId="0" fillId="4" borderId="0" xfId="0" applyFill="1" applyBorder="1" applyAlignment="1" applyProtection="1">
      <alignment vertical="center" wrapText="1"/>
      <protection locked="0"/>
    </xf>
    <xf numFmtId="0" fontId="0" fillId="4" borderId="0" xfId="0" applyFill="1" applyBorder="1" applyAlignment="1" applyProtection="1">
      <alignment horizontal="left" vertical="center"/>
      <protection locked="0"/>
    </xf>
    <xf numFmtId="0" fontId="27" fillId="3" borderId="1" xfId="22" applyAlignment="1" applyProtection="1">
      <alignment horizontal="center" vertical="center"/>
    </xf>
    <xf numFmtId="11" fontId="31" fillId="3" borderId="6" xfId="23" applyNumberFormat="1" applyAlignment="1" applyProtection="1">
      <alignment horizontal="center" vertical="center"/>
    </xf>
    <xf numFmtId="0" fontId="24" fillId="4" borderId="0" xfId="0" applyFont="1" applyFill="1" applyBorder="1" applyAlignment="1" applyProtection="1">
      <alignment vertical="center"/>
      <protection locked="0"/>
    </xf>
    <xf numFmtId="0" fontId="3" fillId="7" borderId="0" xfId="0" applyFont="1" applyFill="1" applyBorder="1" applyAlignment="1" applyProtection="1">
      <alignment vertical="center"/>
      <protection locked="0"/>
    </xf>
    <xf numFmtId="0" fontId="3" fillId="7" borderId="0" xfId="0" applyFont="1" applyFill="1" applyBorder="1" applyAlignment="1" applyProtection="1">
      <alignment horizontal="left" vertical="center"/>
      <protection locked="0"/>
    </xf>
    <xf numFmtId="0" fontId="7" fillId="8" borderId="0" xfId="0" applyFont="1" applyFill="1" applyBorder="1" applyAlignment="1" applyProtection="1">
      <alignment vertical="center"/>
      <protection locked="0"/>
    </xf>
    <xf numFmtId="0" fontId="7" fillId="8" borderId="0" xfId="0" applyFont="1" applyFill="1" applyBorder="1" applyAlignment="1" applyProtection="1">
      <alignment horizontal="left" vertical="center"/>
      <protection locked="0"/>
    </xf>
    <xf numFmtId="0" fontId="0" fillId="8" borderId="0" xfId="0" applyFont="1" applyFill="1" applyBorder="1" applyAlignment="1" applyProtection="1">
      <alignment horizontal="left" vertical="center"/>
      <protection locked="0"/>
    </xf>
    <xf numFmtId="0" fontId="5" fillId="4" borderId="0" xfId="0" applyFont="1" applyFill="1" applyAlignment="1" applyProtection="1">
      <alignment vertical="center"/>
      <protection locked="0"/>
    </xf>
    <xf numFmtId="0" fontId="7" fillId="4" borderId="0" xfId="0" applyFont="1" applyFill="1" applyBorder="1" applyAlignment="1" applyProtection="1">
      <alignment vertical="center"/>
      <protection locked="0"/>
    </xf>
    <xf numFmtId="0" fontId="5" fillId="4" borderId="0" xfId="0" applyFont="1" applyFill="1" applyBorder="1" applyAlignment="1" applyProtection="1">
      <alignment vertical="center"/>
      <protection locked="0"/>
    </xf>
    <xf numFmtId="0" fontId="0" fillId="8" borderId="0" xfId="0" applyFill="1" applyBorder="1" applyAlignment="1" applyProtection="1">
      <alignment horizontal="center" vertical="center"/>
    </xf>
    <xf numFmtId="0" fontId="23" fillId="4" borderId="0" xfId="18"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8" borderId="0" xfId="0" applyFont="1" applyFill="1" applyBorder="1" applyAlignment="1" applyProtection="1">
      <alignment horizontal="left" vertical="center" wrapText="1"/>
      <protection locked="0"/>
    </xf>
    <xf numFmtId="0" fontId="0" fillId="8" borderId="0" xfId="0" applyFill="1" applyBorder="1" applyAlignment="1" applyProtection="1">
      <alignment horizontal="left" vertical="center"/>
      <protection locked="0"/>
    </xf>
    <xf numFmtId="0" fontId="5" fillId="8" borderId="0" xfId="0" applyFont="1" applyFill="1" applyBorder="1" applyAlignment="1" applyProtection="1">
      <alignment horizontal="center" vertical="center"/>
      <protection locked="0"/>
    </xf>
    <xf numFmtId="0" fontId="5" fillId="8" borderId="0" xfId="0" applyFont="1" applyFill="1" applyBorder="1" applyAlignment="1" applyProtection="1">
      <alignment horizontal="left" vertical="center"/>
      <protection locked="0"/>
    </xf>
    <xf numFmtId="0" fontId="0" fillId="4" borderId="0" xfId="0" applyFont="1" applyFill="1" applyBorder="1" applyAlignment="1" applyProtection="1">
      <alignment vertical="center" wrapText="1"/>
      <protection locked="0"/>
    </xf>
    <xf numFmtId="0" fontId="0" fillId="0" borderId="0" xfId="0" applyFont="1" applyAlignment="1" applyProtection="1">
      <alignment vertical="center"/>
      <protection locked="0"/>
    </xf>
    <xf numFmtId="0" fontId="34" fillId="4" borderId="0" xfId="21" applyFont="1" applyFill="1" applyBorder="1" applyAlignment="1" applyProtection="1">
      <alignment vertical="center"/>
      <protection locked="0"/>
    </xf>
    <xf numFmtId="0" fontId="5" fillId="0" borderId="0" xfId="0" applyFont="1" applyAlignment="1" applyProtection="1">
      <alignment vertical="center"/>
      <protection locked="0"/>
    </xf>
    <xf numFmtId="0" fontId="0" fillId="8" borderId="0" xfId="0" applyFont="1" applyFill="1" applyBorder="1" applyAlignment="1" applyProtection="1">
      <alignment vertical="center"/>
      <protection locked="0"/>
    </xf>
    <xf numFmtId="0" fontId="5" fillId="8" borderId="0" xfId="0" applyFont="1" applyFill="1" applyBorder="1" applyAlignment="1" applyProtection="1">
      <alignment vertical="center"/>
      <protection locked="0"/>
    </xf>
    <xf numFmtId="0" fontId="0" fillId="4" borderId="0" xfId="0" applyFill="1" applyAlignment="1" applyProtection="1">
      <alignment horizontal="left" vertical="center"/>
      <protection locked="0"/>
    </xf>
    <xf numFmtId="0" fontId="0" fillId="0" borderId="0" xfId="0" applyAlignment="1" applyProtection="1">
      <alignment horizontal="left" vertical="center"/>
      <protection locked="0"/>
    </xf>
    <xf numFmtId="0" fontId="33" fillId="4" borderId="0" xfId="0" applyFont="1" applyFill="1" applyAlignment="1" applyProtection="1">
      <alignment vertical="center"/>
      <protection locked="0"/>
    </xf>
    <xf numFmtId="0" fontId="5" fillId="8" borderId="0" xfId="0" applyFont="1" applyFill="1" applyBorder="1" applyAlignment="1" applyProtection="1">
      <alignment horizontal="center" vertical="center"/>
    </xf>
    <xf numFmtId="0" fontId="0" fillId="4" borderId="0" xfId="0" applyFont="1" applyFill="1" applyAlignment="1" applyProtection="1">
      <alignment horizontal="left" vertical="center"/>
      <protection locked="0"/>
    </xf>
    <xf numFmtId="0" fontId="6" fillId="4" borderId="0" xfId="0" applyFont="1" applyFill="1" applyAlignment="1" applyProtection="1">
      <alignment vertical="center"/>
      <protection locked="0"/>
    </xf>
    <xf numFmtId="0" fontId="3" fillId="4" borderId="0" xfId="0" applyFont="1" applyFill="1" applyAlignment="1" applyProtection="1">
      <alignment vertical="center"/>
      <protection locked="0"/>
    </xf>
    <xf numFmtId="0" fontId="8" fillId="6" borderId="2" xfId="2" applyAlignment="1" applyProtection="1">
      <alignment horizontal="center" vertical="center" wrapText="1"/>
      <protection locked="0"/>
    </xf>
    <xf numFmtId="0" fontId="0" fillId="4" borderId="16" xfId="0" applyFill="1" applyBorder="1" applyAlignment="1" applyProtection="1">
      <alignment vertical="center"/>
      <protection locked="0"/>
    </xf>
    <xf numFmtId="0" fontId="0" fillId="4" borderId="15" xfId="0" applyFill="1" applyBorder="1" applyAlignment="1" applyProtection="1">
      <alignment vertical="center"/>
      <protection locked="0"/>
    </xf>
    <xf numFmtId="0" fontId="0" fillId="4" borderId="17" xfId="0" applyFill="1" applyBorder="1" applyAlignment="1" applyProtection="1">
      <alignment vertical="center"/>
      <protection locked="0"/>
    </xf>
    <xf numFmtId="0" fontId="18" fillId="4" borderId="18" xfId="21" applyFill="1" applyBorder="1" applyAlignment="1" applyProtection="1">
      <alignment horizontal="left" vertical="center"/>
      <protection locked="0"/>
    </xf>
    <xf numFmtId="0" fontId="0" fillId="4" borderId="19" xfId="0" applyFill="1" applyBorder="1" applyAlignment="1" applyProtection="1">
      <alignment vertical="center"/>
      <protection locked="0"/>
    </xf>
    <xf numFmtId="0" fontId="18" fillId="4" borderId="18" xfId="21" applyFill="1" applyBorder="1" applyAlignment="1" applyProtection="1">
      <alignment vertical="center"/>
      <protection locked="0"/>
    </xf>
    <xf numFmtId="0" fontId="33" fillId="4" borderId="19" xfId="0" applyFont="1" applyFill="1" applyBorder="1" applyAlignment="1" applyProtection="1">
      <alignment vertical="center"/>
      <protection locked="0"/>
    </xf>
    <xf numFmtId="0" fontId="0" fillId="4" borderId="18" xfId="0" applyFill="1" applyBorder="1" applyAlignment="1" applyProtection="1">
      <alignment horizontal="left" vertical="center"/>
      <protection locked="0"/>
    </xf>
    <xf numFmtId="11" fontId="0" fillId="4" borderId="0" xfId="0" applyNumberFormat="1" applyFill="1" applyBorder="1" applyAlignment="1" applyProtection="1">
      <alignment vertical="center"/>
      <protection locked="0"/>
    </xf>
    <xf numFmtId="0" fontId="0" fillId="4" borderId="20" xfId="0" applyFill="1" applyBorder="1" applyAlignment="1" applyProtection="1">
      <alignment vertical="center"/>
      <protection locked="0"/>
    </xf>
    <xf numFmtId="0" fontId="0" fillId="4" borderId="3" xfId="0" applyFill="1" applyBorder="1" applyAlignment="1" applyProtection="1">
      <alignment vertical="center"/>
      <protection locked="0"/>
    </xf>
    <xf numFmtId="0" fontId="0" fillId="4" borderId="21" xfId="0" applyFill="1" applyBorder="1" applyAlignment="1" applyProtection="1">
      <alignment vertical="center"/>
      <protection locked="0"/>
    </xf>
    <xf numFmtId="0" fontId="6" fillId="5" borderId="0" xfId="0" applyFont="1" applyFill="1" applyBorder="1"/>
    <xf numFmtId="0" fontId="0" fillId="5" borderId="0" xfId="0" applyFill="1" applyBorder="1"/>
    <xf numFmtId="0" fontId="36" fillId="4" borderId="0" xfId="0" applyFont="1" applyFill="1"/>
    <xf numFmtId="0" fontId="0" fillId="5" borderId="0" xfId="0" applyFont="1" applyFill="1" applyBorder="1"/>
    <xf numFmtId="0" fontId="33" fillId="4" borderId="0" xfId="0" applyFont="1" applyFill="1" applyAlignment="1" applyProtection="1">
      <alignment horizontal="left" vertical="center"/>
      <protection locked="0"/>
    </xf>
    <xf numFmtId="0" fontId="0" fillId="5" borderId="0" xfId="0" applyFill="1" applyAlignment="1">
      <alignment horizontal="center"/>
    </xf>
    <xf numFmtId="0" fontId="0" fillId="8" borderId="0" xfId="0" applyFont="1" applyFill="1" applyBorder="1" applyAlignment="1" applyProtection="1">
      <alignment horizontal="right" vertical="center"/>
      <protection locked="0"/>
    </xf>
    <xf numFmtId="11" fontId="36" fillId="8" borderId="0" xfId="0" applyNumberFormat="1" applyFont="1" applyFill="1" applyBorder="1" applyAlignment="1" applyProtection="1">
      <alignment vertical="center"/>
      <protection locked="0"/>
    </xf>
    <xf numFmtId="0" fontId="0" fillId="4" borderId="0" xfId="0" applyFont="1" applyFill="1" applyBorder="1" applyAlignment="1" applyProtection="1">
      <alignment horizontal="left" vertical="center" wrapText="1"/>
      <protection locked="0"/>
    </xf>
    <xf numFmtId="0" fontId="0" fillId="8" borderId="0" xfId="0" applyFill="1" applyBorder="1" applyAlignment="1" applyProtection="1">
      <alignment horizontal="left" vertical="center" wrapText="1"/>
      <protection locked="0"/>
    </xf>
    <xf numFmtId="0" fontId="26" fillId="4" borderId="0" xfId="21" applyFont="1" applyFill="1" applyBorder="1" applyAlignment="1" applyProtection="1">
      <alignment horizontal="left" vertical="center" wrapText="1"/>
      <protection locked="0"/>
    </xf>
    <xf numFmtId="0" fontId="0" fillId="8" borderId="0" xfId="0" applyFill="1" applyBorder="1" applyAlignment="1" applyProtection="1">
      <alignment horizontal="left" vertical="center" wrapText="1"/>
      <protection locked="0"/>
    </xf>
    <xf numFmtId="0" fontId="18" fillId="4" borderId="12" xfId="21" applyFont="1" applyFill="1" applyBorder="1" applyAlignment="1" applyProtection="1">
      <alignment vertical="center" wrapText="1"/>
      <protection locked="0"/>
    </xf>
    <xf numFmtId="0" fontId="18" fillId="4" borderId="13" xfId="21" applyFont="1" applyFill="1" applyBorder="1" applyAlignment="1" applyProtection="1">
      <alignment vertical="center" wrapText="1"/>
      <protection locked="0"/>
    </xf>
    <xf numFmtId="0" fontId="0" fillId="4" borderId="11" xfId="0" applyFont="1" applyFill="1" applyBorder="1" applyAlignment="1" applyProtection="1">
      <alignment vertical="center"/>
      <protection locked="0"/>
    </xf>
    <xf numFmtId="0" fontId="0" fillId="4" borderId="14" xfId="0" applyFill="1" applyBorder="1" applyAlignment="1" applyProtection="1">
      <alignment vertical="center"/>
      <protection locked="0"/>
    </xf>
    <xf numFmtId="0" fontId="0" fillId="8" borderId="0" xfId="0" applyFill="1" applyBorder="1" applyAlignment="1" applyProtection="1">
      <alignment horizontal="left" vertical="center"/>
      <protection locked="0"/>
    </xf>
    <xf numFmtId="0" fontId="0" fillId="8" borderId="0" xfId="0" applyFont="1" applyFill="1" applyBorder="1" applyAlignment="1" applyProtection="1">
      <alignment horizontal="left" vertical="center"/>
      <protection locked="0"/>
    </xf>
    <xf numFmtId="0" fontId="13" fillId="8" borderId="0" xfId="0" applyFont="1" applyFill="1" applyBorder="1" applyAlignment="1" applyProtection="1">
      <alignment horizontal="center" vertical="center"/>
      <protection locked="0"/>
    </xf>
    <xf numFmtId="0" fontId="41" fillId="4" borderId="0" xfId="0" applyFont="1" applyFill="1" applyBorder="1" applyAlignment="1" applyProtection="1">
      <alignment vertical="center"/>
      <protection locked="0"/>
    </xf>
    <xf numFmtId="0" fontId="0" fillId="8" borderId="0" xfId="0" applyFont="1" applyFill="1" applyBorder="1" applyAlignment="1" applyProtection="1">
      <alignment horizontal="left" vertical="center"/>
    </xf>
    <xf numFmtId="0" fontId="0" fillId="4" borderId="0" xfId="0" applyFill="1" applyAlignment="1" applyProtection="1">
      <alignment vertical="center"/>
      <protection locked="0"/>
    </xf>
    <xf numFmtId="0" fontId="26" fillId="4" borderId="0" xfId="21" applyFont="1" applyFill="1" applyBorder="1" applyAlignment="1" applyProtection="1">
      <alignment horizontal="left" vertical="center" wrapText="1"/>
      <protection locked="0"/>
    </xf>
    <xf numFmtId="0" fontId="5" fillId="4" borderId="0" xfId="0" applyFont="1" applyFill="1" applyAlignment="1" applyProtection="1">
      <alignment horizontal="left" vertical="center"/>
      <protection locked="0"/>
    </xf>
    <xf numFmtId="0" fontId="0" fillId="4" borderId="0" xfId="0" applyFill="1" applyAlignment="1" applyProtection="1">
      <alignment vertical="center"/>
      <protection locked="0"/>
    </xf>
    <xf numFmtId="0" fontId="24" fillId="4" borderId="0" xfId="0" applyFont="1" applyFill="1" applyBorder="1" applyAlignment="1" applyProtection="1">
      <alignment vertical="center"/>
      <protection locked="0"/>
    </xf>
    <xf numFmtId="0" fontId="0" fillId="4" borderId="0" xfId="0" applyFont="1" applyFill="1" applyBorder="1" applyAlignment="1" applyProtection="1">
      <alignment vertical="center"/>
      <protection locked="0"/>
    </xf>
    <xf numFmtId="0" fontId="11" fillId="7" borderId="0" xfId="0" applyFont="1" applyFill="1" applyBorder="1" applyAlignment="1" applyProtection="1">
      <alignment vertical="center"/>
      <protection locked="0"/>
    </xf>
    <xf numFmtId="0" fontId="3" fillId="7" borderId="0" xfId="0" applyFont="1" applyFill="1" applyBorder="1" applyAlignment="1" applyProtection="1">
      <alignment vertical="center"/>
      <protection locked="0"/>
    </xf>
    <xf numFmtId="0" fontId="3" fillId="7" borderId="0" xfId="0" applyFont="1" applyFill="1" applyBorder="1" applyAlignment="1" applyProtection="1">
      <alignment horizontal="left" vertical="center"/>
      <protection locked="0"/>
    </xf>
    <xf numFmtId="0" fontId="0" fillId="8" borderId="0" xfId="0" applyFill="1" applyBorder="1" applyAlignment="1" applyProtection="1">
      <alignment vertical="center"/>
      <protection locked="0"/>
    </xf>
    <xf numFmtId="0" fontId="0" fillId="8" borderId="0" xfId="0" applyFill="1" applyBorder="1" applyAlignment="1" applyProtection="1">
      <alignment horizontal="left" vertical="center"/>
      <protection locked="0"/>
    </xf>
    <xf numFmtId="0" fontId="7" fillId="8" borderId="0" xfId="0" applyFont="1" applyFill="1" applyBorder="1" applyAlignment="1" applyProtection="1">
      <alignment vertical="center"/>
      <protection locked="0"/>
    </xf>
    <xf numFmtId="0" fontId="7" fillId="8" borderId="0" xfId="0" applyFont="1" applyFill="1" applyBorder="1" applyAlignment="1" applyProtection="1">
      <alignment horizontal="left" vertical="center"/>
      <protection locked="0"/>
    </xf>
    <xf numFmtId="0" fontId="7" fillId="8" borderId="0" xfId="0" applyFont="1" applyFill="1" applyBorder="1" applyAlignment="1" applyProtection="1">
      <alignment horizontal="center" vertical="center"/>
      <protection locked="0"/>
    </xf>
    <xf numFmtId="0" fontId="0" fillId="8" borderId="0" xfId="0" applyFill="1" applyBorder="1" applyAlignment="1" applyProtection="1">
      <alignment vertical="center"/>
      <protection locked="0"/>
    </xf>
    <xf numFmtId="0" fontId="0" fillId="8" borderId="0" xfId="0" applyFill="1" applyBorder="1" applyAlignment="1" applyProtection="1">
      <alignment horizontal="left" vertical="center"/>
      <protection locked="0"/>
    </xf>
    <xf numFmtId="0" fontId="0" fillId="8" borderId="0" xfId="0" applyFill="1" applyBorder="1" applyAlignment="1" applyProtection="1">
      <alignment horizontal="center" vertical="center"/>
      <protection locked="0"/>
    </xf>
    <xf numFmtId="0" fontId="5" fillId="9" borderId="5" xfId="1" applyFont="1" applyFill="1" applyBorder="1" applyAlignment="1" applyProtection="1">
      <alignment horizontal="center" vertical="center"/>
      <protection locked="0"/>
    </xf>
    <xf numFmtId="0" fontId="0" fillId="4" borderId="0" xfId="0" applyFill="1" applyBorder="1" applyAlignment="1" applyProtection="1">
      <alignment vertical="center"/>
      <protection locked="0"/>
    </xf>
    <xf numFmtId="0" fontId="0" fillId="4" borderId="0" xfId="0" applyFill="1" applyBorder="1" applyAlignment="1" applyProtection="1">
      <alignment horizontal="left" vertical="center"/>
      <protection locked="0"/>
    </xf>
    <xf numFmtId="0" fontId="0" fillId="4" borderId="0" xfId="0" applyFill="1" applyAlignment="1" applyProtection="1">
      <alignment vertical="center"/>
      <protection locked="0"/>
    </xf>
    <xf numFmtId="0" fontId="0" fillId="0" borderId="0" xfId="0" applyAlignment="1" applyProtection="1">
      <alignment vertical="center"/>
      <protection locked="0"/>
    </xf>
    <xf numFmtId="0" fontId="5" fillId="4" borderId="0" xfId="0" applyFont="1" applyFill="1" applyBorder="1" applyAlignment="1" applyProtection="1">
      <alignment vertical="center"/>
      <protection locked="0"/>
    </xf>
    <xf numFmtId="0" fontId="25" fillId="4" borderId="0" xfId="21" applyFont="1" applyFill="1" applyBorder="1" applyAlignment="1" applyProtection="1">
      <alignment vertical="center"/>
      <protection locked="0"/>
    </xf>
    <xf numFmtId="0" fontId="34" fillId="4" borderId="0" xfId="21" applyFont="1" applyFill="1" applyBorder="1" applyAlignment="1" applyProtection="1">
      <alignment vertical="center"/>
      <protection locked="0"/>
    </xf>
    <xf numFmtId="0" fontId="5" fillId="4" borderId="0" xfId="0" applyFont="1" applyFill="1" applyAlignment="1" applyProtection="1">
      <alignment vertical="center"/>
      <protection locked="0"/>
    </xf>
    <xf numFmtId="0" fontId="5" fillId="0" borderId="0" xfId="0" applyFont="1" applyAlignment="1" applyProtection="1">
      <alignment vertical="center"/>
      <protection locked="0"/>
    </xf>
    <xf numFmtId="0" fontId="0" fillId="4" borderId="0" xfId="0" applyFont="1" applyFill="1" applyAlignment="1" applyProtection="1">
      <alignment vertical="center"/>
      <protection locked="0"/>
    </xf>
    <xf numFmtId="0" fontId="24" fillId="4" borderId="0" xfId="0" applyFont="1" applyFill="1" applyBorder="1" applyAlignment="1" applyProtection="1">
      <alignment vertical="center"/>
      <protection locked="0"/>
    </xf>
    <xf numFmtId="0" fontId="0" fillId="4" borderId="0" xfId="0" applyFont="1" applyFill="1" applyBorder="1" applyAlignment="1" applyProtection="1">
      <alignment vertical="center"/>
      <protection locked="0"/>
    </xf>
    <xf numFmtId="0" fontId="11" fillId="7" borderId="0" xfId="0" applyFont="1" applyFill="1" applyBorder="1" applyAlignment="1" applyProtection="1">
      <alignment vertical="center"/>
      <protection locked="0"/>
    </xf>
    <xf numFmtId="0" fontId="3" fillId="7" borderId="0" xfId="0" applyFont="1" applyFill="1" applyBorder="1" applyAlignment="1" applyProtection="1">
      <alignment vertical="center"/>
      <protection locked="0"/>
    </xf>
    <xf numFmtId="0" fontId="3" fillId="7" borderId="0" xfId="0" applyFont="1" applyFill="1" applyBorder="1" applyAlignment="1" applyProtection="1">
      <alignment horizontal="left" vertical="center"/>
      <protection locked="0"/>
    </xf>
    <xf numFmtId="0" fontId="0" fillId="8" borderId="0" xfId="0" applyFill="1" applyBorder="1" applyAlignment="1" applyProtection="1">
      <alignment vertical="center"/>
      <protection locked="0"/>
    </xf>
    <xf numFmtId="0" fontId="0" fillId="8" borderId="0" xfId="0" applyFill="1" applyBorder="1" applyAlignment="1" applyProtection="1">
      <alignment horizontal="left" vertical="center"/>
      <protection locked="0"/>
    </xf>
    <xf numFmtId="0" fontId="7" fillId="8" borderId="0" xfId="0" applyFont="1" applyFill="1" applyBorder="1" applyAlignment="1" applyProtection="1">
      <alignment vertical="center"/>
      <protection locked="0"/>
    </xf>
    <xf numFmtId="0" fontId="7" fillId="8" borderId="0" xfId="0" applyFont="1" applyFill="1" applyBorder="1" applyAlignment="1" applyProtection="1">
      <alignment horizontal="left" vertical="center"/>
      <protection locked="0"/>
    </xf>
    <xf numFmtId="0" fontId="7" fillId="8" borderId="0" xfId="0" applyFont="1" applyFill="1" applyBorder="1" applyAlignment="1" applyProtection="1">
      <alignment horizontal="center" vertical="center"/>
      <protection locked="0"/>
    </xf>
    <xf numFmtId="0" fontId="0" fillId="8" borderId="0" xfId="0" applyFill="1" applyBorder="1" applyAlignment="1" applyProtection="1">
      <alignment horizontal="center" vertical="center"/>
      <protection locked="0"/>
    </xf>
    <xf numFmtId="0" fontId="33" fillId="4" borderId="0" xfId="0" applyFont="1" applyFill="1" applyAlignment="1" applyProtection="1">
      <alignment vertical="center"/>
      <protection locked="0"/>
    </xf>
    <xf numFmtId="0" fontId="5" fillId="9" borderId="5" xfId="1" applyFont="1" applyFill="1" applyBorder="1" applyAlignment="1" applyProtection="1">
      <alignment horizontal="center" vertical="center"/>
      <protection locked="0"/>
    </xf>
    <xf numFmtId="0" fontId="0" fillId="8" borderId="0" xfId="0" applyFont="1" applyFill="1" applyBorder="1" applyAlignment="1" applyProtection="1">
      <alignment horizontal="center" vertical="center"/>
      <protection locked="0"/>
    </xf>
    <xf numFmtId="0" fontId="7" fillId="4" borderId="0" xfId="0" applyFont="1" applyFill="1" applyBorder="1" applyAlignment="1" applyProtection="1">
      <alignment vertical="center"/>
      <protection locked="0"/>
    </xf>
    <xf numFmtId="0" fontId="0" fillId="8" borderId="0" xfId="0" applyFont="1" applyFill="1" applyBorder="1" applyAlignment="1" applyProtection="1">
      <alignment horizontal="left" vertical="center" wrapText="1"/>
      <protection locked="0"/>
    </xf>
    <xf numFmtId="0" fontId="6" fillId="4" borderId="0" xfId="0" applyFont="1" applyFill="1" applyAlignment="1" applyProtection="1">
      <alignment vertical="center"/>
      <protection locked="0"/>
    </xf>
    <xf numFmtId="0" fontId="0" fillId="4" borderId="0" xfId="0" applyFill="1" applyAlignment="1" applyProtection="1">
      <alignment horizontal="left" vertical="center"/>
      <protection locked="0"/>
    </xf>
    <xf numFmtId="0" fontId="0" fillId="0" borderId="0" xfId="0" applyAlignment="1" applyProtection="1">
      <alignment horizontal="left" vertical="center"/>
      <protection locked="0"/>
    </xf>
    <xf numFmtId="0" fontId="0" fillId="8" borderId="0" xfId="0" applyFill="1" applyBorder="1" applyAlignment="1" applyProtection="1">
      <alignment horizontal="center" vertical="center"/>
    </xf>
    <xf numFmtId="11" fontId="31" fillId="3" borderId="6" xfId="23" applyNumberFormat="1" applyAlignment="1" applyProtection="1">
      <alignment horizontal="center" vertical="center"/>
    </xf>
    <xf numFmtId="0" fontId="20" fillId="4" borderId="0" xfId="0" applyFont="1" applyFill="1" applyBorder="1" applyAlignment="1" applyProtection="1">
      <alignment vertical="center" wrapText="1"/>
      <protection locked="0"/>
    </xf>
    <xf numFmtId="0" fontId="0" fillId="0" borderId="0" xfId="0" applyFont="1" applyAlignment="1" applyProtection="1">
      <alignment vertical="center"/>
      <protection locked="0"/>
    </xf>
    <xf numFmtId="0" fontId="20" fillId="4" borderId="0" xfId="0" applyFont="1" applyFill="1" applyBorder="1" applyAlignment="1" applyProtection="1">
      <alignment horizontal="left" vertical="center" wrapText="1"/>
      <protection locked="0"/>
    </xf>
    <xf numFmtId="0" fontId="0" fillId="4" borderId="0" xfId="0" applyFill="1" applyBorder="1" applyAlignment="1" applyProtection="1">
      <alignment vertical="center" wrapText="1"/>
      <protection locked="0"/>
    </xf>
    <xf numFmtId="0" fontId="21" fillId="4" borderId="10" xfId="0" applyFont="1" applyFill="1" applyBorder="1" applyAlignment="1" applyProtection="1">
      <alignment vertical="center" wrapText="1"/>
      <protection locked="0"/>
    </xf>
    <xf numFmtId="0" fontId="0" fillId="4" borderId="0" xfId="0" applyFont="1" applyFill="1" applyBorder="1" applyAlignment="1" applyProtection="1">
      <alignment vertical="center" wrapText="1"/>
      <protection locked="0"/>
    </xf>
    <xf numFmtId="0" fontId="0" fillId="4" borderId="0" xfId="0" applyFont="1" applyFill="1" applyBorder="1" applyAlignment="1" applyProtection="1">
      <alignment horizontal="left" vertical="center" wrapText="1"/>
      <protection locked="0"/>
    </xf>
    <xf numFmtId="0" fontId="0" fillId="4" borderId="0" xfId="0" applyFill="1" applyAlignment="1" applyProtection="1">
      <alignment horizontal="center" vertical="center"/>
      <protection locked="0"/>
    </xf>
    <xf numFmtId="0" fontId="5" fillId="8" borderId="0" xfId="0" applyFont="1" applyFill="1" applyBorder="1" applyAlignment="1" applyProtection="1">
      <alignment horizontal="center" vertical="center"/>
      <protection locked="0"/>
    </xf>
    <xf numFmtId="0" fontId="0" fillId="8" borderId="0" xfId="0" applyFont="1" applyFill="1" applyBorder="1" applyAlignment="1" applyProtection="1">
      <alignment horizontal="left" vertical="center"/>
      <protection locked="0"/>
    </xf>
    <xf numFmtId="0" fontId="0" fillId="8" borderId="0" xfId="0" applyFill="1" applyBorder="1" applyAlignment="1" applyProtection="1">
      <alignment horizontal="left" vertical="center" wrapText="1"/>
      <protection locked="0"/>
    </xf>
    <xf numFmtId="0" fontId="0" fillId="8" borderId="0" xfId="0" applyFont="1" applyFill="1" applyBorder="1" applyAlignment="1" applyProtection="1">
      <alignment vertical="center"/>
      <protection locked="0"/>
    </xf>
    <xf numFmtId="0" fontId="4" fillId="8" borderId="0" xfId="0" applyFont="1" applyFill="1" applyBorder="1" applyAlignment="1" applyProtection="1">
      <alignment vertical="center"/>
      <protection locked="0"/>
    </xf>
    <xf numFmtId="0" fontId="26" fillId="4" borderId="0" xfId="21" applyFont="1" applyFill="1" applyBorder="1" applyAlignment="1" applyProtection="1">
      <alignment horizontal="left" vertical="center" wrapText="1"/>
      <protection locked="0"/>
    </xf>
    <xf numFmtId="0" fontId="21" fillId="4" borderId="10" xfId="0" applyFont="1" applyFill="1" applyBorder="1" applyAlignment="1" applyProtection="1">
      <alignment horizontal="left" vertical="center"/>
      <protection locked="0"/>
    </xf>
    <xf numFmtId="0" fontId="21" fillId="4" borderId="0" xfId="0" applyFont="1" applyFill="1" applyBorder="1" applyAlignment="1" applyProtection="1">
      <alignment horizontal="left" vertical="center"/>
      <protection locked="0"/>
    </xf>
    <xf numFmtId="0" fontId="21" fillId="4" borderId="11" xfId="0" applyFont="1" applyFill="1" applyBorder="1" applyAlignment="1" applyProtection="1">
      <alignment horizontal="left" vertical="center"/>
      <protection locked="0"/>
    </xf>
    <xf numFmtId="0" fontId="29" fillId="8" borderId="0" xfId="0" applyFont="1" applyFill="1" applyBorder="1" applyAlignment="1" applyProtection="1">
      <alignment vertical="center"/>
      <protection locked="0"/>
    </xf>
    <xf numFmtId="0" fontId="7" fillId="4" borderId="0" xfId="0" applyFont="1" applyFill="1" applyBorder="1" applyAlignment="1" applyProtection="1">
      <alignment horizontal="left" vertical="center" wrapText="1"/>
      <protection locked="0"/>
    </xf>
    <xf numFmtId="0" fontId="0" fillId="8" borderId="0" xfId="0" applyFill="1" applyBorder="1" applyAlignment="1" applyProtection="1">
      <alignment horizontal="left" vertical="center" wrapText="1"/>
      <protection locked="0"/>
    </xf>
    <xf numFmtId="0" fontId="0" fillId="8" borderId="0" xfId="0" applyFont="1" applyFill="1" applyBorder="1" applyAlignment="1" applyProtection="1">
      <alignment horizontal="left" vertical="center"/>
      <protection locked="0"/>
    </xf>
    <xf numFmtId="0" fontId="0" fillId="8" borderId="0" xfId="0" applyFill="1" applyBorder="1" applyAlignment="1" applyProtection="1">
      <alignment horizontal="left" vertical="center"/>
      <protection locked="0"/>
    </xf>
    <xf numFmtId="0" fontId="26" fillId="4" borderId="0" xfId="21" applyFont="1" applyFill="1" applyBorder="1" applyAlignment="1" applyProtection="1">
      <alignment horizontal="left" vertical="center" wrapText="1"/>
      <protection locked="0"/>
    </xf>
    <xf numFmtId="0" fontId="0" fillId="8" borderId="0" xfId="0" applyFont="1" applyFill="1" applyBorder="1" applyAlignment="1" applyProtection="1">
      <alignment horizontal="left" vertical="center" wrapText="1"/>
      <protection locked="0"/>
    </xf>
    <xf numFmtId="0" fontId="4" fillId="8" borderId="0" xfId="0" applyFont="1" applyFill="1" applyBorder="1" applyAlignment="1" applyProtection="1">
      <alignment horizontal="left" vertical="center" wrapText="1"/>
      <protection locked="0"/>
    </xf>
    <xf numFmtId="11" fontId="29" fillId="3" borderId="6" xfId="23" applyNumberFormat="1" applyFont="1" applyAlignment="1" applyProtection="1">
      <alignment horizontal="center" vertical="center"/>
    </xf>
    <xf numFmtId="0" fontId="0" fillId="9" borderId="0" xfId="0" applyFill="1" applyAlignment="1">
      <alignment vertical="center"/>
    </xf>
    <xf numFmtId="0" fontId="0" fillId="4" borderId="0" xfId="0" applyFill="1" applyAlignment="1">
      <alignment horizontal="center" vertical="center"/>
    </xf>
    <xf numFmtId="0" fontId="4" fillId="5" borderId="3" xfId="0" applyFont="1" applyFill="1" applyBorder="1" applyAlignment="1">
      <alignment vertical="center"/>
    </xf>
    <xf numFmtId="0" fontId="6" fillId="5" borderId="0" xfId="0" applyFont="1" applyFill="1" applyBorder="1" applyAlignment="1">
      <alignment vertical="center"/>
    </xf>
    <xf numFmtId="0" fontId="0" fillId="5" borderId="0" xfId="0" applyFill="1" applyAlignment="1">
      <alignment horizontal="center" vertical="center"/>
    </xf>
    <xf numFmtId="0" fontId="0" fillId="5" borderId="0" xfId="0" applyFill="1" applyBorder="1" applyAlignment="1">
      <alignment vertical="center"/>
    </xf>
    <xf numFmtId="0" fontId="0" fillId="8" borderId="0" xfId="0" applyFont="1" applyFill="1" applyBorder="1" applyAlignment="1" applyProtection="1">
      <alignment horizontal="left" vertical="center"/>
      <protection locked="0"/>
    </xf>
    <xf numFmtId="0" fontId="0" fillId="8" borderId="0" xfId="0" applyFill="1" applyBorder="1" applyAlignment="1" applyProtection="1">
      <alignment horizontal="left" vertical="center" wrapText="1"/>
      <protection locked="0"/>
    </xf>
    <xf numFmtId="0" fontId="0" fillId="8" borderId="0" xfId="0" applyFill="1" applyBorder="1" applyAlignment="1" applyProtection="1">
      <alignment horizontal="left" vertical="center"/>
      <protection locked="0"/>
    </xf>
    <xf numFmtId="0" fontId="26" fillId="4" borderId="0" xfId="21" applyFont="1" applyFill="1" applyBorder="1" applyAlignment="1" applyProtection="1">
      <alignment horizontal="left" vertical="center" wrapText="1"/>
      <protection locked="0"/>
    </xf>
    <xf numFmtId="0" fontId="0" fillId="8" borderId="0" xfId="0" applyFont="1" applyFill="1" applyBorder="1" applyAlignment="1" applyProtection="1">
      <alignment horizontal="left" vertical="center" wrapText="1"/>
      <protection locked="0"/>
    </xf>
    <xf numFmtId="0" fontId="4" fillId="8" borderId="0" xfId="0" applyFont="1" applyFill="1" applyBorder="1" applyAlignment="1" applyProtection="1">
      <alignment horizontal="left" vertical="center" wrapText="1"/>
      <protection locked="0"/>
    </xf>
    <xf numFmtId="0" fontId="29" fillId="8" borderId="15" xfId="0" applyFont="1" applyFill="1" applyBorder="1" applyAlignment="1" applyProtection="1">
      <alignment vertical="center"/>
      <protection locked="0"/>
    </xf>
    <xf numFmtId="0" fontId="5" fillId="8" borderId="15" xfId="0" applyFont="1" applyFill="1" applyBorder="1" applyAlignment="1" applyProtection="1">
      <alignment vertical="center"/>
      <protection locked="0"/>
    </xf>
    <xf numFmtId="0" fontId="5" fillId="8" borderId="15" xfId="0" applyFont="1" applyFill="1" applyBorder="1" applyAlignment="1" applyProtection="1">
      <alignment horizontal="left" vertical="center"/>
      <protection locked="0"/>
    </xf>
    <xf numFmtId="0" fontId="5" fillId="8" borderId="15" xfId="0" applyFont="1" applyFill="1" applyBorder="1" applyAlignment="1" applyProtection="1">
      <alignment horizontal="center" vertical="center"/>
      <protection locked="0"/>
    </xf>
    <xf numFmtId="0" fontId="0" fillId="8" borderId="15" xfId="0" applyFill="1" applyBorder="1" applyAlignment="1" applyProtection="1">
      <alignment vertical="center"/>
      <protection locked="0"/>
    </xf>
    <xf numFmtId="0" fontId="7" fillId="8" borderId="15" xfId="0" applyFont="1" applyFill="1" applyBorder="1" applyAlignment="1" applyProtection="1">
      <alignment vertical="center"/>
      <protection locked="0"/>
    </xf>
    <xf numFmtId="0" fontId="7" fillId="8" borderId="15" xfId="0" applyFont="1" applyFill="1" applyBorder="1" applyAlignment="1" applyProtection="1">
      <alignment horizontal="left" vertical="center"/>
      <protection locked="0"/>
    </xf>
    <xf numFmtId="0" fontId="7" fillId="8" borderId="15" xfId="0" applyFont="1" applyFill="1" applyBorder="1" applyAlignment="1" applyProtection="1">
      <alignment horizontal="center" vertical="center"/>
      <protection locked="0"/>
    </xf>
    <xf numFmtId="0" fontId="4" fillId="8" borderId="15" xfId="0" applyFont="1" applyFill="1" applyBorder="1" applyAlignment="1" applyProtection="1">
      <alignment horizontal="left" vertical="center" wrapText="1"/>
      <protection locked="0"/>
    </xf>
    <xf numFmtId="0" fontId="0" fillId="8" borderId="15" xfId="0" applyFill="1" applyBorder="1" applyAlignment="1" applyProtection="1">
      <alignment horizontal="center" vertical="center"/>
      <protection locked="0"/>
    </xf>
    <xf numFmtId="0" fontId="0" fillId="8" borderId="15" xfId="0" applyFont="1" applyFill="1" applyBorder="1" applyAlignment="1" applyProtection="1">
      <alignment horizontal="left" vertical="center" wrapText="1"/>
      <protection locked="0"/>
    </xf>
    <xf numFmtId="1" fontId="29" fillId="3" borderId="6" xfId="23" applyNumberFormat="1" applyFont="1" applyAlignment="1" applyProtection="1">
      <alignment horizontal="center" vertical="center"/>
    </xf>
    <xf numFmtId="0" fontId="0" fillId="8" borderId="0" xfId="0" applyFill="1" applyBorder="1" applyAlignment="1" applyProtection="1">
      <alignment horizontal="left" vertical="center" wrapText="1"/>
      <protection locked="0"/>
    </xf>
    <xf numFmtId="0" fontId="29" fillId="5" borderId="3" xfId="0" applyFont="1" applyFill="1" applyBorder="1" applyAlignment="1">
      <alignment vertical="center"/>
    </xf>
    <xf numFmtId="0" fontId="29" fillId="5" borderId="3" xfId="0" applyFont="1" applyFill="1" applyBorder="1" applyAlignment="1">
      <alignment horizontal="center" vertical="center" wrapText="1"/>
    </xf>
    <xf numFmtId="0" fontId="47" fillId="5" borderId="0" xfId="0" applyFont="1" applyFill="1" applyBorder="1" applyAlignment="1">
      <alignment vertical="center"/>
    </xf>
    <xf numFmtId="0" fontId="5" fillId="5" borderId="0" xfId="0" applyFont="1" applyFill="1" applyAlignment="1">
      <alignment horizontal="center" vertical="center"/>
    </xf>
    <xf numFmtId="0" fontId="5" fillId="5" borderId="0" xfId="0" applyFont="1" applyFill="1" applyBorder="1" applyAlignment="1">
      <alignment vertical="center"/>
    </xf>
    <xf numFmtId="0" fontId="0" fillId="5" borderId="0" xfId="0" applyFill="1"/>
    <xf numFmtId="0" fontId="6" fillId="5" borderId="0" xfId="0" applyFont="1" applyFill="1"/>
    <xf numFmtId="0" fontId="0" fillId="5" borderId="3" xfId="0" applyFill="1" applyBorder="1"/>
    <xf numFmtId="0" fontId="4" fillId="5" borderId="3" xfId="0" applyFont="1" applyFill="1" applyBorder="1" applyAlignment="1">
      <alignment horizontal="center"/>
    </xf>
    <xf numFmtId="0" fontId="0" fillId="8" borderId="0" xfId="0" applyFont="1" applyFill="1" applyBorder="1" applyAlignment="1" applyProtection="1">
      <alignment horizontal="left" vertical="center"/>
      <protection locked="0"/>
    </xf>
    <xf numFmtId="0" fontId="0" fillId="8" borderId="0" xfId="0" applyFill="1" applyBorder="1" applyAlignment="1" applyProtection="1">
      <alignment horizontal="left" vertical="center" wrapText="1"/>
      <protection locked="0"/>
    </xf>
    <xf numFmtId="0" fontId="0" fillId="8" borderId="0" xfId="0" applyFill="1" applyBorder="1" applyAlignment="1" applyProtection="1">
      <alignment horizontal="left" vertical="center"/>
      <protection locked="0"/>
    </xf>
    <xf numFmtId="0" fontId="0" fillId="8" borderId="0" xfId="0" applyFill="1" applyBorder="1" applyAlignment="1" applyProtection="1">
      <alignment horizontal="left" vertical="center" wrapText="1"/>
      <protection locked="0"/>
    </xf>
    <xf numFmtId="0" fontId="0" fillId="8" borderId="0" xfId="0" applyFont="1" applyFill="1" applyBorder="1" applyAlignment="1" applyProtection="1">
      <alignment horizontal="left" vertical="center"/>
      <protection locked="0"/>
    </xf>
    <xf numFmtId="0" fontId="0" fillId="8" borderId="0" xfId="0" applyFill="1" applyBorder="1" applyAlignment="1" applyProtection="1">
      <alignment horizontal="left" vertical="center"/>
      <protection locked="0"/>
    </xf>
    <xf numFmtId="0" fontId="26" fillId="4" borderId="0" xfId="21" applyFont="1" applyFill="1" applyBorder="1" applyAlignment="1" applyProtection="1">
      <alignment horizontal="left" vertical="center" wrapText="1"/>
      <protection locked="0"/>
    </xf>
    <xf numFmtId="0" fontId="0" fillId="8" borderId="0" xfId="0" applyFont="1" applyFill="1" applyBorder="1" applyAlignment="1" applyProtection="1">
      <alignment horizontal="left" vertical="center" wrapText="1"/>
      <protection locked="0"/>
    </xf>
    <xf numFmtId="0" fontId="6" fillId="5" borderId="0" xfId="0" applyFont="1" applyFill="1" applyBorder="1" applyAlignment="1">
      <alignment horizontal="left"/>
    </xf>
    <xf numFmtId="0" fontId="0" fillId="5" borderId="3" xfId="0" applyFill="1" applyBorder="1" applyAlignment="1">
      <alignment horizontal="center"/>
    </xf>
    <xf numFmtId="0" fontId="0" fillId="5" borderId="0" xfId="0" applyFill="1" applyBorder="1" applyAlignment="1">
      <alignment horizontal="center"/>
    </xf>
    <xf numFmtId="0" fontId="0" fillId="4" borderId="0" xfId="0" applyFont="1" applyFill="1"/>
    <xf numFmtId="0" fontId="0" fillId="4" borderId="0" xfId="0" applyFont="1" applyFill="1" applyAlignment="1">
      <alignment vertical="center"/>
    </xf>
    <xf numFmtId="0" fontId="0" fillId="5" borderId="0" xfId="0" applyFill="1" applyBorder="1" applyAlignment="1" applyProtection="1">
      <alignment vertical="center"/>
    </xf>
    <xf numFmtId="0" fontId="4" fillId="5" borderId="3" xfId="0" applyFont="1" applyFill="1" applyBorder="1" applyAlignment="1">
      <alignment horizontal="center" vertical="center"/>
    </xf>
    <xf numFmtId="0" fontId="0" fillId="5" borderId="0" xfId="0" applyFont="1" applyFill="1" applyBorder="1" applyAlignment="1">
      <alignment horizontal="center" vertical="center"/>
    </xf>
    <xf numFmtId="0" fontId="0" fillId="11" borderId="0" xfId="0" applyFill="1" applyAlignment="1">
      <alignment horizontal="center" vertical="center"/>
    </xf>
    <xf numFmtId="0" fontId="31" fillId="3" borderId="6" xfId="23" applyNumberFormat="1" applyAlignment="1" applyProtection="1">
      <alignment horizontal="center" vertical="center"/>
    </xf>
    <xf numFmtId="0" fontId="8" fillId="6" borderId="2" xfId="2" applyAlignment="1" applyProtection="1">
      <alignment horizontal="center" vertical="center"/>
      <protection locked="0"/>
    </xf>
    <xf numFmtId="0" fontId="26" fillId="4" borderId="0" xfId="21" quotePrefix="1" applyFont="1" applyFill="1" applyBorder="1" applyAlignment="1" applyProtection="1">
      <alignment horizontal="left" vertical="center" wrapText="1"/>
      <protection locked="0"/>
    </xf>
    <xf numFmtId="0" fontId="7" fillId="4" borderId="0" xfId="0" applyFont="1" applyFill="1" applyBorder="1" applyAlignment="1" applyProtection="1">
      <alignment horizontal="left" vertical="center"/>
      <protection locked="0"/>
    </xf>
    <xf numFmtId="0" fontId="26" fillId="4" borderId="0" xfId="21" quotePrefix="1" applyFont="1" applyFill="1" applyBorder="1" applyAlignment="1" applyProtection="1">
      <alignment horizontal="left" vertical="center" wrapText="1"/>
      <protection locked="0"/>
    </xf>
    <xf numFmtId="0" fontId="26" fillId="4" borderId="0" xfId="21" applyFont="1" applyFill="1" applyBorder="1" applyAlignment="1" applyProtection="1">
      <alignment horizontal="left" vertical="center" wrapText="1"/>
      <protection locked="0"/>
    </xf>
    <xf numFmtId="0" fontId="0" fillId="8" borderId="0" xfId="0" applyFill="1" applyBorder="1" applyAlignment="1" applyProtection="1">
      <alignment horizontal="left" vertical="center" wrapText="1"/>
      <protection locked="0"/>
    </xf>
    <xf numFmtId="0" fontId="0" fillId="8" borderId="0" xfId="0" applyFont="1" applyFill="1" applyBorder="1" applyAlignment="1" applyProtection="1">
      <alignment horizontal="left" vertical="center" wrapText="1"/>
      <protection locked="0"/>
    </xf>
    <xf numFmtId="0" fontId="7" fillId="4" borderId="0" xfId="0" applyFont="1" applyFill="1" applyBorder="1" applyAlignment="1" applyProtection="1">
      <alignment horizontal="left" vertical="center" wrapText="1"/>
      <protection locked="0"/>
    </xf>
    <xf numFmtId="0" fontId="0" fillId="8" borderId="0" xfId="0" applyFont="1" applyFill="1" applyBorder="1" applyAlignment="1" applyProtection="1">
      <alignment horizontal="left" vertical="center"/>
      <protection locked="0"/>
    </xf>
    <xf numFmtId="0" fontId="36" fillId="4" borderId="0" xfId="0" applyFont="1" applyFill="1" applyBorder="1" applyAlignment="1" applyProtection="1">
      <alignment horizontal="left" vertical="center" wrapText="1"/>
      <protection locked="0"/>
    </xf>
    <xf numFmtId="0" fontId="0" fillId="8" borderId="0" xfId="0" applyFill="1" applyBorder="1" applyAlignment="1" applyProtection="1">
      <alignment horizontal="left" vertical="center"/>
      <protection locked="0"/>
    </xf>
    <xf numFmtId="0" fontId="5" fillId="8" borderId="0" xfId="0" applyFont="1" applyFill="1" applyBorder="1" applyAlignment="1" applyProtection="1">
      <alignment horizontal="left" vertical="center" wrapText="1"/>
      <protection locked="0"/>
    </xf>
    <xf numFmtId="0" fontId="44" fillId="4" borderId="0" xfId="20" applyFont="1" applyFill="1" applyBorder="1"/>
    <xf numFmtId="0" fontId="44" fillId="4" borderId="11" xfId="20" applyFont="1" applyFill="1" applyBorder="1"/>
    <xf numFmtId="0" fontId="0" fillId="4" borderId="0" xfId="0" applyFill="1" applyAlignment="1">
      <alignment horizontal="left" vertical="center"/>
    </xf>
    <xf numFmtId="0" fontId="0" fillId="8" borderId="0" xfId="0" applyFill="1" applyBorder="1" applyAlignment="1" applyProtection="1">
      <alignment horizontal="left" vertical="center"/>
      <protection locked="0"/>
    </xf>
    <xf numFmtId="0" fontId="0" fillId="8" borderId="0" xfId="0" applyFont="1" applyFill="1" applyBorder="1" applyAlignment="1" applyProtection="1">
      <alignment horizontal="left" vertical="center" wrapText="1"/>
      <protection locked="0"/>
    </xf>
    <xf numFmtId="0" fontId="26" fillId="4" borderId="0" xfId="21" quotePrefix="1" applyFont="1" applyFill="1" applyBorder="1" applyAlignment="1" applyProtection="1">
      <alignment horizontal="left" vertical="center" wrapText="1"/>
      <protection locked="0"/>
    </xf>
    <xf numFmtId="0" fontId="26" fillId="4" borderId="0" xfId="21" applyFont="1" applyFill="1" applyBorder="1" applyAlignment="1" applyProtection="1">
      <alignment horizontal="left" vertical="center" wrapText="1"/>
      <protection locked="0"/>
    </xf>
    <xf numFmtId="0" fontId="7" fillId="4" borderId="0" xfId="0" applyFont="1" applyFill="1" applyBorder="1" applyAlignment="1" applyProtection="1">
      <alignment horizontal="left" vertical="center" wrapText="1"/>
      <protection locked="0"/>
    </xf>
    <xf numFmtId="0" fontId="0" fillId="8" borderId="0" xfId="0" applyFill="1" applyBorder="1" applyAlignment="1" applyProtection="1">
      <alignment horizontal="left" vertical="center" wrapText="1"/>
      <protection locked="0"/>
    </xf>
    <xf numFmtId="0" fontId="0" fillId="8" borderId="0" xfId="0" applyFont="1" applyFill="1" applyBorder="1" applyAlignment="1" applyProtection="1">
      <alignment horizontal="left" vertical="center"/>
      <protection locked="0"/>
    </xf>
    <xf numFmtId="0" fontId="4" fillId="8" borderId="0" xfId="0" applyFont="1" applyFill="1" applyBorder="1" applyAlignment="1" applyProtection="1">
      <alignment horizontal="left" vertical="center" wrapText="1"/>
      <protection locked="0"/>
    </xf>
    <xf numFmtId="0" fontId="31" fillId="3" borderId="6" xfId="23" applyAlignment="1" applyProtection="1">
      <alignment horizontal="center" vertical="center"/>
    </xf>
    <xf numFmtId="0" fontId="44" fillId="4" borderId="10" xfId="20" quotePrefix="1" applyFont="1" applyFill="1" applyBorder="1"/>
    <xf numFmtId="0" fontId="21" fillId="4" borderId="10" xfId="0" applyFont="1" applyFill="1" applyBorder="1" applyAlignment="1" applyProtection="1">
      <alignment vertical="center"/>
      <protection locked="0"/>
    </xf>
    <xf numFmtId="0" fontId="9" fillId="4" borderId="0" xfId="20" applyFill="1" applyBorder="1" applyAlignment="1" applyProtection="1">
      <alignment vertical="center"/>
      <protection locked="0"/>
    </xf>
    <xf numFmtId="0" fontId="9" fillId="0" borderId="0" xfId="20"/>
    <xf numFmtId="0" fontId="9" fillId="4" borderId="0" xfId="20" applyFill="1"/>
    <xf numFmtId="0" fontId="9" fillId="4" borderId="0" xfId="20" applyFill="1" applyAlignment="1" applyProtection="1">
      <alignment vertical="center"/>
      <protection locked="0"/>
    </xf>
    <xf numFmtId="0" fontId="26" fillId="4" borderId="0" xfId="21" quotePrefix="1" applyFont="1" applyFill="1" applyBorder="1" applyAlignment="1" applyProtection="1">
      <alignment horizontal="left" vertical="center" wrapText="1"/>
      <protection locked="0"/>
    </xf>
    <xf numFmtId="0" fontId="26" fillId="4" borderId="0" xfId="21" applyFont="1" applyFill="1" applyBorder="1" applyAlignment="1" applyProtection="1">
      <alignment horizontal="left" vertical="center" wrapText="1"/>
      <protection locked="0"/>
    </xf>
    <xf numFmtId="0" fontId="0" fillId="8" borderId="0" xfId="0" applyFill="1" applyBorder="1" applyAlignment="1" applyProtection="1">
      <alignment horizontal="left" vertical="center" wrapText="1"/>
      <protection locked="0"/>
    </xf>
    <xf numFmtId="0" fontId="0" fillId="8" borderId="0" xfId="0" applyFont="1" applyFill="1" applyBorder="1" applyAlignment="1" applyProtection="1">
      <alignment horizontal="left" vertical="center" wrapText="1"/>
      <protection locked="0"/>
    </xf>
    <xf numFmtId="0" fontId="0" fillId="8" borderId="0" xfId="0" applyFont="1" applyFill="1" applyBorder="1" applyAlignment="1" applyProtection="1">
      <alignment horizontal="left" vertical="center"/>
      <protection locked="0"/>
    </xf>
    <xf numFmtId="0" fontId="0" fillId="8" borderId="0" xfId="0" applyFill="1" applyBorder="1" applyAlignment="1" applyProtection="1">
      <alignment horizontal="left" vertical="center"/>
      <protection locked="0"/>
    </xf>
    <xf numFmtId="0" fontId="5" fillId="8" borderId="0" xfId="0" applyFont="1" applyFill="1" applyBorder="1" applyAlignment="1" applyProtection="1">
      <alignment horizontal="left" vertical="center" wrapText="1"/>
      <protection locked="0"/>
    </xf>
    <xf numFmtId="0" fontId="4" fillId="8" borderId="0" xfId="0" applyFont="1" applyFill="1" applyBorder="1" applyAlignment="1" applyProtection="1">
      <alignment horizontal="left" vertical="center" wrapText="1"/>
      <protection locked="0"/>
    </xf>
    <xf numFmtId="0" fontId="0" fillId="12" borderId="0" xfId="0" applyFill="1" applyBorder="1"/>
    <xf numFmtId="0" fontId="8" fillId="6" borderId="2" xfId="2" applyAlignment="1" applyProtection="1">
      <alignment horizontal="center" vertical="center" wrapText="1"/>
      <protection locked="0"/>
    </xf>
    <xf numFmtId="0" fontId="6" fillId="5" borderId="0" xfId="0" applyFont="1" applyFill="1" applyBorder="1" applyAlignment="1">
      <alignment vertical="center" wrapText="1"/>
    </xf>
    <xf numFmtId="0" fontId="0" fillId="12" borderId="0" xfId="0" applyFont="1" applyFill="1" applyBorder="1"/>
    <xf numFmtId="0" fontId="0" fillId="12" borderId="0" xfId="0" applyFill="1" applyAlignment="1">
      <alignment horizontal="center" vertical="center"/>
    </xf>
    <xf numFmtId="0" fontId="0" fillId="12" borderId="0" xfId="0" applyFill="1" applyBorder="1" applyAlignment="1" applyProtection="1">
      <alignment vertical="center"/>
    </xf>
    <xf numFmtId="0" fontId="0" fillId="11" borderId="0" xfId="0" applyFont="1" applyFill="1" applyBorder="1"/>
    <xf numFmtId="0" fontId="0" fillId="11" borderId="0" xfId="0" applyFill="1" applyBorder="1" applyAlignment="1" applyProtection="1">
      <alignment vertical="center"/>
    </xf>
    <xf numFmtId="0" fontId="27" fillId="3" borderId="1" xfId="22" applyAlignment="1" applyProtection="1">
      <alignment horizontal="center" vertical="center" wrapText="1"/>
    </xf>
    <xf numFmtId="0" fontId="0" fillId="8" borderId="0" xfId="0" quotePrefix="1" applyFill="1" applyBorder="1" applyAlignment="1" applyProtection="1">
      <alignment horizontal="right" vertical="center"/>
      <protection locked="0"/>
    </xf>
    <xf numFmtId="0" fontId="0" fillId="8" borderId="3" xfId="0" applyFill="1" applyBorder="1" applyAlignment="1" applyProtection="1">
      <alignment vertical="center"/>
      <protection locked="0"/>
    </xf>
    <xf numFmtId="0" fontId="0" fillId="12" borderId="0" xfId="0" applyFont="1" applyFill="1" applyBorder="1" applyAlignment="1">
      <alignment horizontal="center" vertical="center"/>
    </xf>
    <xf numFmtId="0" fontId="0" fillId="4" borderId="0" xfId="0" applyFill="1" applyBorder="1" applyProtection="1">
      <protection locked="0"/>
    </xf>
    <xf numFmtId="0" fontId="3" fillId="7" borderId="0" xfId="0" applyFont="1" applyFill="1" applyBorder="1" applyProtection="1">
      <protection locked="0"/>
    </xf>
    <xf numFmtId="0" fontId="3" fillId="7" borderId="0" xfId="0" applyFont="1" applyFill="1" applyBorder="1" applyAlignment="1" applyProtection="1">
      <alignment horizontal="left"/>
      <protection locked="0"/>
    </xf>
    <xf numFmtId="0" fontId="0" fillId="8" borderId="0" xfId="0" applyFill="1" applyBorder="1" applyProtection="1">
      <protection locked="0"/>
    </xf>
    <xf numFmtId="0" fontId="0" fillId="8" borderId="0" xfId="0" applyFill="1" applyBorder="1" applyAlignment="1" applyProtection="1">
      <alignment horizontal="left"/>
      <protection locked="0"/>
    </xf>
    <xf numFmtId="0" fontId="7" fillId="8" borderId="0" xfId="0" applyFont="1" applyFill="1" applyBorder="1" applyProtection="1">
      <protection locked="0"/>
    </xf>
    <xf numFmtId="0" fontId="7" fillId="8" borderId="0" xfId="0" applyFont="1" applyFill="1" applyBorder="1" applyAlignment="1" applyProtection="1">
      <alignment horizontal="left"/>
      <protection locked="0"/>
    </xf>
    <xf numFmtId="0" fontId="7" fillId="8" borderId="0" xfId="0" applyFont="1" applyFill="1" applyBorder="1" applyAlignment="1" applyProtection="1">
      <alignment horizontal="center"/>
      <protection locked="0"/>
    </xf>
    <xf numFmtId="0" fontId="0" fillId="8" borderId="0" xfId="0" applyFill="1" applyBorder="1" applyAlignment="1" applyProtection="1">
      <alignment horizontal="center"/>
      <protection locked="0"/>
    </xf>
    <xf numFmtId="0" fontId="21" fillId="8" borderId="0" xfId="0" applyFont="1" applyFill="1" applyBorder="1" applyAlignment="1" applyProtection="1">
      <alignment horizontal="left" vertical="center" wrapText="1"/>
      <protection locked="0"/>
    </xf>
    <xf numFmtId="0" fontId="0" fillId="8" borderId="3" xfId="0" applyFill="1" applyBorder="1" applyAlignment="1" applyProtection="1">
      <alignment horizontal="center" vertical="center" wrapText="1"/>
      <protection locked="0"/>
    </xf>
    <xf numFmtId="0" fontId="0" fillId="8" borderId="3" xfId="0" applyFill="1" applyBorder="1" applyAlignment="1" applyProtection="1">
      <alignment vertical="center" wrapText="1"/>
      <protection locked="0"/>
    </xf>
    <xf numFmtId="0" fontId="0" fillId="8" borderId="0" xfId="0" applyFill="1" applyBorder="1" applyAlignment="1" applyProtection="1">
      <alignment horizontal="center" vertical="center" wrapText="1"/>
      <protection locked="0"/>
    </xf>
    <xf numFmtId="0" fontId="0" fillId="8" borderId="3" xfId="0" applyFill="1" applyBorder="1" applyAlignment="1" applyProtection="1">
      <alignment horizontal="left" vertical="center" wrapText="1"/>
      <protection locked="0"/>
    </xf>
    <xf numFmtId="0" fontId="52" fillId="8" borderId="0" xfId="0" applyFont="1" applyFill="1" applyBorder="1" applyAlignment="1" applyProtection="1">
      <alignment horizontal="left" vertical="center" wrapText="1"/>
      <protection locked="0"/>
    </xf>
    <xf numFmtId="0" fontId="51" fillId="8" borderId="0" xfId="0" applyFont="1" applyFill="1" applyBorder="1" applyAlignment="1" applyProtection="1">
      <alignment vertical="center"/>
      <protection locked="0"/>
    </xf>
    <xf numFmtId="0" fontId="0" fillId="8" borderId="22" xfId="0" applyFill="1" applyBorder="1" applyAlignment="1" applyProtection="1">
      <alignment horizontal="right" vertical="center" wrapText="1"/>
      <protection locked="0"/>
    </xf>
    <xf numFmtId="0" fontId="37" fillId="8" borderId="0" xfId="0" applyFont="1" applyFill="1" applyBorder="1" applyAlignment="1" applyProtection="1">
      <alignment horizontal="left" vertical="center"/>
      <protection locked="0"/>
    </xf>
    <xf numFmtId="0" fontId="0" fillId="8" borderId="0" xfId="0" applyFill="1" applyAlignment="1" applyProtection="1">
      <alignment vertical="center"/>
      <protection locked="0"/>
    </xf>
    <xf numFmtId="0" fontId="7" fillId="8" borderId="15" xfId="0" applyFont="1" applyFill="1" applyBorder="1" applyProtection="1">
      <protection locked="0"/>
    </xf>
    <xf numFmtId="0" fontId="7" fillId="8" borderId="15" xfId="0" applyFont="1" applyFill="1" applyBorder="1" applyAlignment="1" applyProtection="1">
      <alignment horizontal="left"/>
      <protection locked="0"/>
    </xf>
    <xf numFmtId="0" fontId="7" fillId="8" borderId="15" xfId="0" applyFont="1" applyFill="1" applyBorder="1" applyAlignment="1" applyProtection="1">
      <alignment horizontal="center"/>
      <protection locked="0"/>
    </xf>
    <xf numFmtId="0" fontId="0" fillId="8" borderId="15" xfId="0" applyFill="1" applyBorder="1" applyAlignment="1" applyProtection="1">
      <alignment vertical="center" wrapText="1"/>
      <protection locked="0"/>
    </xf>
    <xf numFmtId="0" fontId="0" fillId="8" borderId="15" xfId="0" applyFill="1" applyBorder="1" applyAlignment="1" applyProtection="1">
      <alignment horizontal="center" vertical="center" wrapText="1"/>
      <protection locked="0"/>
    </xf>
    <xf numFmtId="0" fontId="0" fillId="8" borderId="15" xfId="0" applyFill="1" applyBorder="1" applyAlignment="1" applyProtection="1">
      <alignment horizontal="left" vertical="center"/>
      <protection locked="0"/>
    </xf>
    <xf numFmtId="0" fontId="0" fillId="8" borderId="15" xfId="0" applyFill="1" applyBorder="1" applyAlignment="1" applyProtection="1">
      <alignment horizontal="center"/>
      <protection locked="0"/>
    </xf>
    <xf numFmtId="0" fontId="52" fillId="8" borderId="15" xfId="0" applyFont="1" applyFill="1" applyBorder="1" applyAlignment="1" applyProtection="1">
      <alignment horizontal="left" vertical="center" wrapText="1"/>
      <protection locked="0"/>
    </xf>
    <xf numFmtId="0" fontId="0" fillId="5" borderId="3" xfId="0" applyFill="1" applyBorder="1" applyAlignment="1" applyProtection="1">
      <alignment horizontal="left" vertical="center"/>
      <protection locked="0"/>
    </xf>
    <xf numFmtId="0" fontId="0" fillId="5" borderId="3" xfId="0" applyFont="1" applyFill="1" applyBorder="1" applyAlignment="1" applyProtection="1">
      <alignment horizontal="center" vertical="center" wrapText="1"/>
      <protection locked="0"/>
    </xf>
    <xf numFmtId="0" fontId="6" fillId="5" borderId="0" xfId="0" applyFont="1" applyFill="1" applyBorder="1" applyAlignment="1" applyProtection="1">
      <alignment horizontal="left" vertical="center"/>
      <protection locked="0"/>
    </xf>
    <xf numFmtId="0" fontId="0" fillId="5" borderId="0" xfId="0" applyFont="1" applyFill="1" applyBorder="1" applyAlignment="1" applyProtection="1">
      <alignment horizontal="center" vertical="center" wrapText="1"/>
      <protection locked="0"/>
    </xf>
    <xf numFmtId="0" fontId="0" fillId="5" borderId="0" xfId="0" applyFill="1" applyBorder="1" applyAlignment="1" applyProtection="1">
      <alignment vertical="center" wrapText="1"/>
      <protection locked="0"/>
    </xf>
    <xf numFmtId="0" fontId="0" fillId="5" borderId="0" xfId="0" applyFill="1" applyBorder="1" applyAlignment="1" applyProtection="1">
      <alignment horizontal="center" vertical="center" wrapText="1"/>
      <protection locked="0"/>
    </xf>
    <xf numFmtId="0" fontId="0" fillId="8" borderId="3" xfId="0" applyFill="1" applyBorder="1" applyAlignment="1" applyProtection="1">
      <alignment horizontal="center" vertical="center"/>
    </xf>
    <xf numFmtId="0" fontId="0" fillId="8" borderId="0" xfId="0" applyFill="1" applyBorder="1" applyAlignment="1" applyProtection="1">
      <alignment horizontal="left" vertical="center"/>
      <protection locked="0"/>
    </xf>
    <xf numFmtId="0" fontId="0" fillId="8" borderId="0" xfId="0" applyFont="1" applyFill="1" applyBorder="1" applyAlignment="1" applyProtection="1">
      <alignment horizontal="left" vertical="center" wrapText="1"/>
      <protection locked="0"/>
    </xf>
    <xf numFmtId="0" fontId="0" fillId="8" borderId="0" xfId="0" applyFill="1" applyBorder="1" applyAlignment="1" applyProtection="1">
      <alignment horizontal="left" vertical="center" wrapText="1"/>
      <protection locked="0"/>
    </xf>
    <xf numFmtId="0" fontId="33" fillId="8" borderId="0" xfId="0" applyFont="1" applyFill="1" applyBorder="1" applyAlignment="1" applyProtection="1">
      <alignment horizontal="left" vertical="center" wrapText="1"/>
      <protection locked="0"/>
    </xf>
    <xf numFmtId="0" fontId="0" fillId="8" borderId="0" xfId="0" applyFill="1" applyBorder="1" applyAlignment="1" applyProtection="1">
      <alignment horizontal="left" vertical="center"/>
      <protection locked="0"/>
    </xf>
    <xf numFmtId="0" fontId="0" fillId="8" borderId="0" xfId="0" applyFill="1" applyBorder="1" applyAlignment="1" applyProtection="1">
      <alignment horizontal="left" vertical="center"/>
      <protection locked="0"/>
    </xf>
    <xf numFmtId="0" fontId="0" fillId="8" borderId="0" xfId="0" applyFont="1" applyFill="1" applyBorder="1" applyAlignment="1" applyProtection="1">
      <alignment horizontal="left" vertical="center" wrapText="1"/>
      <protection locked="0"/>
    </xf>
    <xf numFmtId="0" fontId="26" fillId="4" borderId="0" xfId="21" applyFont="1" applyFill="1" applyBorder="1" applyAlignment="1" applyProtection="1">
      <alignment horizontal="left" vertical="center" wrapText="1"/>
      <protection locked="0"/>
    </xf>
    <xf numFmtId="0" fontId="0" fillId="8" borderId="0" xfId="0" applyFont="1" applyFill="1" applyBorder="1" applyAlignment="1" applyProtection="1">
      <alignment horizontal="left" vertical="center"/>
      <protection locked="0"/>
    </xf>
    <xf numFmtId="0" fontId="7" fillId="4" borderId="0" xfId="0" applyFont="1" applyFill="1" applyBorder="1" applyAlignment="1" applyProtection="1">
      <alignment horizontal="left" vertical="center"/>
      <protection locked="0"/>
    </xf>
    <xf numFmtId="0" fontId="0" fillId="8" borderId="0" xfId="0" applyFill="1" applyBorder="1" applyAlignment="1" applyProtection="1">
      <alignment horizontal="left" vertical="center" wrapText="1"/>
      <protection locked="0"/>
    </xf>
    <xf numFmtId="0" fontId="0" fillId="8" borderId="0" xfId="0" applyFill="1" applyBorder="1" applyAlignment="1" applyProtection="1">
      <alignment horizontal="left" vertical="center"/>
      <protection locked="0"/>
    </xf>
    <xf numFmtId="0" fontId="5" fillId="4" borderId="0" xfId="0" applyFont="1" applyFill="1" applyAlignment="1">
      <alignment vertical="center"/>
    </xf>
    <xf numFmtId="0" fontId="5" fillId="4" borderId="0" xfId="0" applyFont="1" applyFill="1" applyAlignment="1">
      <alignment horizontal="left" vertical="center"/>
    </xf>
    <xf numFmtId="0" fontId="5" fillId="4" borderId="0" xfId="0" applyFont="1" applyFill="1"/>
    <xf numFmtId="0" fontId="0" fillId="0" borderId="0" xfId="0"/>
    <xf numFmtId="0" fontId="0" fillId="4" borderId="0" xfId="0" applyFill="1"/>
    <xf numFmtId="0" fontId="4" fillId="5" borderId="3" xfId="0" applyFont="1" applyFill="1" applyBorder="1" applyAlignment="1">
      <alignment horizontal="center" vertical="center"/>
    </xf>
    <xf numFmtId="0" fontId="6" fillId="5" borderId="0" xfId="0" applyFont="1" applyFill="1" applyBorder="1" applyAlignment="1">
      <alignment horizontal="center" vertical="center"/>
    </xf>
    <xf numFmtId="0" fontId="0" fillId="5" borderId="0" xfId="0" applyFill="1" applyBorder="1" applyAlignment="1">
      <alignment horizontal="center" vertical="center"/>
    </xf>
    <xf numFmtId="0" fontId="4" fillId="5" borderId="3" xfId="0" applyFont="1" applyFill="1" applyBorder="1" applyAlignment="1">
      <alignment vertical="center"/>
    </xf>
    <xf numFmtId="0" fontId="6" fillId="5" borderId="0" xfId="0" applyFont="1" applyFill="1" applyBorder="1" applyAlignment="1">
      <alignment vertical="center"/>
    </xf>
    <xf numFmtId="0" fontId="0" fillId="5" borderId="0" xfId="0" applyFill="1" applyBorder="1" applyAlignment="1">
      <alignment vertical="center"/>
    </xf>
    <xf numFmtId="0" fontId="0" fillId="8" borderId="0" xfId="0" applyFill="1" applyBorder="1" applyAlignment="1" applyProtection="1">
      <alignment vertical="center" wrapText="1"/>
      <protection locked="0"/>
    </xf>
    <xf numFmtId="0" fontId="8" fillId="6" borderId="2" xfId="2" applyAlignment="1" applyProtection="1">
      <alignment horizontal="center" vertical="center" wrapText="1"/>
      <protection locked="0"/>
    </xf>
    <xf numFmtId="0" fontId="0" fillId="8" borderId="0" xfId="0" applyFill="1" applyBorder="1" applyAlignment="1" applyProtection="1">
      <alignment horizontal="left" vertical="center"/>
      <protection locked="0"/>
    </xf>
    <xf numFmtId="0" fontId="27" fillId="3" borderId="1" xfId="22" applyAlignment="1" applyProtection="1">
      <alignment horizontal="center" vertical="center"/>
    </xf>
    <xf numFmtId="0" fontId="0" fillId="0" borderId="0" xfId="0"/>
    <xf numFmtId="0" fontId="0" fillId="4" borderId="0" xfId="0" applyFill="1"/>
    <xf numFmtId="0" fontId="4" fillId="5" borderId="3" xfId="0" applyFont="1" applyFill="1" applyBorder="1" applyAlignment="1">
      <alignment horizontal="center" vertical="center"/>
    </xf>
    <xf numFmtId="0" fontId="6" fillId="5" borderId="0" xfId="0" applyFont="1" applyFill="1" applyBorder="1" applyAlignment="1">
      <alignment horizontal="center" vertical="center"/>
    </xf>
    <xf numFmtId="0" fontId="0" fillId="5" borderId="0" xfId="0" applyFill="1" applyBorder="1" applyAlignment="1">
      <alignment horizontal="center" vertical="center"/>
    </xf>
    <xf numFmtId="0" fontId="4" fillId="5" borderId="3" xfId="0" applyFont="1" applyFill="1" applyBorder="1" applyAlignment="1">
      <alignment vertical="center"/>
    </xf>
    <xf numFmtId="0" fontId="6" fillId="5" borderId="0" xfId="0" applyFont="1" applyFill="1" applyBorder="1" applyAlignment="1">
      <alignment vertical="center"/>
    </xf>
    <xf numFmtId="0" fontId="0" fillId="5" borderId="0" xfId="0" applyFill="1" applyBorder="1" applyAlignment="1">
      <alignment vertical="center"/>
    </xf>
    <xf numFmtId="0" fontId="0" fillId="4" borderId="0" xfId="0" applyFill="1" applyBorder="1" applyAlignment="1" applyProtection="1">
      <alignment vertical="center"/>
      <protection locked="0"/>
    </xf>
    <xf numFmtId="0" fontId="0" fillId="4" borderId="0" xfId="0" applyFill="1" applyAlignment="1" applyProtection="1">
      <alignment vertical="center"/>
      <protection locked="0"/>
    </xf>
    <xf numFmtId="0" fontId="0" fillId="0" borderId="0" xfId="0" applyAlignment="1" applyProtection="1">
      <alignment vertical="center"/>
      <protection locked="0"/>
    </xf>
    <xf numFmtId="0" fontId="24" fillId="4" borderId="0" xfId="0" applyFont="1" applyFill="1" applyBorder="1" applyAlignment="1" applyProtection="1">
      <alignment vertical="center"/>
      <protection locked="0"/>
    </xf>
    <xf numFmtId="0" fontId="0" fillId="8" borderId="0" xfId="0" applyFill="1" applyBorder="1" applyAlignment="1" applyProtection="1">
      <alignment vertical="center" wrapText="1"/>
      <protection locked="0"/>
    </xf>
    <xf numFmtId="0" fontId="8" fillId="6" borderId="2" xfId="2" applyAlignment="1" applyProtection="1">
      <alignment horizontal="center" vertical="center" wrapText="1"/>
      <protection locked="0"/>
    </xf>
    <xf numFmtId="0" fontId="0" fillId="8" borderId="0" xfId="0" applyFill="1" applyBorder="1" applyAlignment="1" applyProtection="1">
      <alignment horizontal="left" vertical="center"/>
      <protection locked="0"/>
    </xf>
    <xf numFmtId="0" fontId="5" fillId="9" borderId="5" xfId="1" applyFont="1" applyFill="1" applyBorder="1" applyAlignment="1" applyProtection="1">
      <alignment horizontal="center" vertical="center"/>
      <protection locked="0"/>
    </xf>
    <xf numFmtId="0" fontId="27" fillId="3" borderId="1" xfId="22" applyAlignment="1" applyProtection="1">
      <alignment horizontal="center" vertical="center"/>
    </xf>
    <xf numFmtId="0" fontId="5" fillId="4" borderId="0" xfId="0" applyFont="1" applyFill="1" applyBorder="1" applyAlignment="1" applyProtection="1">
      <alignment horizontal="left" vertical="center" wrapText="1"/>
      <protection locked="0"/>
    </xf>
    <xf numFmtId="0" fontId="5" fillId="4" borderId="0" xfId="0" applyFont="1" applyFill="1" applyBorder="1" applyAlignment="1" applyProtection="1">
      <alignment horizontal="left" vertical="center"/>
      <protection locked="0"/>
    </xf>
    <xf numFmtId="0" fontId="27" fillId="3" borderId="1" xfId="22" applyAlignment="1" applyProtection="1">
      <alignment horizontal="center" vertical="center" wrapText="1"/>
    </xf>
    <xf numFmtId="0" fontId="26" fillId="4" borderId="0" xfId="21" applyFont="1" applyFill="1" applyBorder="1" applyAlignment="1" applyProtection="1">
      <alignment horizontal="left" vertical="center" wrapText="1"/>
      <protection locked="0"/>
    </xf>
    <xf numFmtId="0" fontId="0" fillId="8" borderId="0" xfId="0" applyFill="1" applyBorder="1" applyAlignment="1" applyProtection="1">
      <alignment horizontal="left" vertical="center"/>
      <protection locked="0"/>
    </xf>
    <xf numFmtId="0" fontId="19" fillId="4" borderId="0" xfId="17" applyFont="1" applyFill="1" applyBorder="1" applyAlignment="1">
      <alignment vertical="center" wrapText="1"/>
    </xf>
    <xf numFmtId="0" fontId="9" fillId="4" borderId="0" xfId="20" applyFill="1" applyBorder="1" applyAlignment="1"/>
    <xf numFmtId="0" fontId="43" fillId="4" borderId="0" xfId="19" applyFont="1" applyFill="1" applyBorder="1" applyAlignment="1">
      <alignment vertical="center"/>
    </xf>
    <xf numFmtId="0" fontId="20" fillId="4" borderId="0" xfId="0" applyFont="1" applyFill="1" applyBorder="1"/>
    <xf numFmtId="0" fontId="34" fillId="4" borderId="0" xfId="0" applyFont="1" applyFill="1"/>
    <xf numFmtId="0" fontId="23" fillId="4" borderId="0" xfId="0" applyFont="1" applyFill="1" applyAlignment="1">
      <alignment vertical="center" wrapText="1"/>
    </xf>
    <xf numFmtId="0" fontId="5" fillId="8" borderId="0" xfId="0" applyFont="1" applyFill="1" applyBorder="1" applyAlignment="1" applyProtection="1">
      <alignment horizontal="left" vertical="center" wrapText="1"/>
      <protection locked="0"/>
    </xf>
    <xf numFmtId="0" fontId="34" fillId="13" borderId="0" xfId="0" applyFont="1" applyFill="1" applyAlignment="1" applyProtection="1">
      <alignment vertical="center"/>
      <protection locked="0"/>
    </xf>
    <xf numFmtId="0" fontId="0" fillId="13" borderId="0" xfId="0" applyFill="1" applyAlignment="1" applyProtection="1">
      <alignment vertical="center"/>
      <protection locked="0"/>
    </xf>
    <xf numFmtId="0" fontId="34" fillId="4" borderId="0" xfId="0" applyFont="1" applyFill="1" applyAlignment="1" applyProtection="1">
      <alignment vertical="center"/>
      <protection locked="0"/>
    </xf>
    <xf numFmtId="0" fontId="33" fillId="8" borderId="0" xfId="0" applyFont="1" applyFill="1" applyBorder="1" applyAlignment="1" applyProtection="1">
      <alignment horizontal="center" vertical="center"/>
      <protection locked="0"/>
    </xf>
    <xf numFmtId="0" fontId="0" fillId="8" borderId="0" xfId="0" applyFill="1" applyBorder="1" applyAlignment="1" applyProtection="1">
      <alignment horizontal="left" vertical="center"/>
      <protection locked="0"/>
    </xf>
    <xf numFmtId="0" fontId="0" fillId="8" borderId="0" xfId="0" applyFill="1" applyBorder="1" applyAlignment="1" applyProtection="1">
      <alignment horizontal="left" vertical="center" wrapText="1"/>
      <protection locked="0"/>
    </xf>
    <xf numFmtId="0" fontId="0" fillId="8" borderId="0" xfId="0" applyFont="1" applyFill="1" applyBorder="1" applyAlignment="1" applyProtection="1">
      <alignment horizontal="left" vertical="center"/>
      <protection locked="0"/>
    </xf>
    <xf numFmtId="0" fontId="5" fillId="8" borderId="0" xfId="0" applyFont="1" applyFill="1" applyBorder="1" applyAlignment="1" applyProtection="1">
      <alignment horizontal="left" vertical="center" wrapText="1"/>
      <protection locked="0"/>
    </xf>
    <xf numFmtId="0" fontId="0" fillId="8" borderId="0" xfId="0" applyFill="1" applyBorder="1" applyAlignment="1" applyProtection="1">
      <alignment horizontal="left" vertical="center"/>
      <protection locked="0"/>
    </xf>
    <xf numFmtId="0" fontId="5" fillId="8" borderId="0" xfId="0" applyFont="1" applyFill="1" applyBorder="1" applyAlignment="1" applyProtection="1">
      <alignment horizontal="left" vertical="center" wrapText="1"/>
      <protection locked="0"/>
    </xf>
    <xf numFmtId="0" fontId="33" fillId="8" borderId="0" xfId="0" applyFont="1" applyFill="1" applyBorder="1" applyAlignment="1" applyProtection="1">
      <alignment horizontal="left" vertical="center" wrapText="1"/>
      <protection locked="0"/>
    </xf>
    <xf numFmtId="0" fontId="5" fillId="8" borderId="0" xfId="0" applyFont="1" applyFill="1" applyBorder="1" applyAlignment="1" applyProtection="1">
      <alignment horizontal="left" vertical="center" wrapText="1"/>
      <protection locked="0"/>
    </xf>
    <xf numFmtId="0" fontId="33" fillId="8" borderId="0" xfId="0" applyFont="1" applyFill="1" applyBorder="1" applyAlignment="1">
      <alignment horizontal="left" vertical="center" wrapText="1"/>
    </xf>
    <xf numFmtId="0" fontId="5" fillId="8" borderId="0" xfId="0" applyFont="1" applyFill="1" applyBorder="1" applyAlignment="1">
      <alignment horizontal="left" vertical="center" wrapText="1"/>
    </xf>
    <xf numFmtId="0" fontId="33" fillId="8" borderId="0" xfId="0" applyFont="1" applyFill="1" applyBorder="1" applyAlignment="1">
      <alignment vertical="center" wrapText="1"/>
    </xf>
    <xf numFmtId="0" fontId="33" fillId="8" borderId="0" xfId="0" applyFont="1" applyFill="1" applyBorder="1" applyAlignment="1">
      <alignment horizontal="left" vertical="center"/>
    </xf>
    <xf numFmtId="0" fontId="5" fillId="8" borderId="0" xfId="0" applyFont="1" applyFill="1" applyBorder="1" applyAlignment="1" applyProtection="1">
      <alignment horizontal="left" vertical="center" wrapText="1"/>
      <protection locked="0"/>
    </xf>
    <xf numFmtId="0" fontId="33" fillId="8" borderId="0" xfId="0" applyFont="1" applyFill="1" applyBorder="1" applyAlignment="1">
      <alignment horizontal="left" vertical="center" wrapText="1"/>
    </xf>
    <xf numFmtId="0" fontId="0" fillId="8" borderId="0" xfId="0" applyFill="1" applyBorder="1" applyAlignment="1" applyProtection="1">
      <alignment horizontal="left" vertical="center"/>
      <protection locked="0"/>
    </xf>
    <xf numFmtId="0" fontId="0" fillId="8" borderId="0" xfId="0" applyFill="1" applyBorder="1" applyAlignment="1" applyProtection="1">
      <alignment horizontal="left" vertical="center" wrapText="1"/>
      <protection locked="0"/>
    </xf>
    <xf numFmtId="0" fontId="0" fillId="8" borderId="0" xfId="0" applyFont="1" applyFill="1" applyBorder="1" applyAlignment="1" applyProtection="1">
      <alignment horizontal="left" vertical="center"/>
      <protection locked="0"/>
    </xf>
    <xf numFmtId="0" fontId="15" fillId="10" borderId="0" xfId="0" applyFont="1" applyFill="1" applyBorder="1" applyAlignment="1">
      <alignment horizontal="center" vertical="center"/>
    </xf>
    <xf numFmtId="0" fontId="15" fillId="10" borderId="0" xfId="0" applyFont="1" applyFill="1" applyBorder="1" applyAlignment="1">
      <alignment horizontal="left" vertical="center"/>
    </xf>
    <xf numFmtId="0" fontId="0" fillId="8" borderId="0" xfId="0" applyFill="1" applyBorder="1" applyAlignment="1">
      <alignment horizontal="right" vertical="center"/>
    </xf>
    <xf numFmtId="0" fontId="0" fillId="8" borderId="0" xfId="0" applyFill="1" applyBorder="1" applyAlignment="1" applyProtection="1">
      <alignment horizontal="left" vertical="center"/>
      <protection locked="0"/>
    </xf>
    <xf numFmtId="0" fontId="0" fillId="8" borderId="0" xfId="0" applyFill="1" applyBorder="1" applyAlignment="1" applyProtection="1">
      <alignment horizontal="left" vertical="center" wrapText="1"/>
      <protection locked="0"/>
    </xf>
    <xf numFmtId="0" fontId="0" fillId="8" borderId="0" xfId="0" applyFont="1" applyFill="1" applyBorder="1" applyAlignment="1" applyProtection="1">
      <alignment horizontal="left" vertical="center"/>
      <protection locked="0"/>
    </xf>
    <xf numFmtId="0" fontId="5" fillId="8" borderId="0" xfId="0" applyFont="1" applyFill="1" applyBorder="1" applyAlignment="1" applyProtection="1">
      <alignment horizontal="left" vertical="center" wrapText="1"/>
      <protection locked="0"/>
    </xf>
    <xf numFmtId="0" fontId="33" fillId="8" borderId="0" xfId="0" applyFont="1" applyFill="1" applyBorder="1" applyAlignment="1">
      <alignment horizontal="left" vertical="center" wrapText="1"/>
    </xf>
    <xf numFmtId="0" fontId="0" fillId="8" borderId="0" xfId="0" applyFill="1" applyBorder="1" applyAlignment="1" applyProtection="1">
      <alignment horizontal="left" vertical="center" wrapText="1"/>
      <protection locked="0"/>
    </xf>
    <xf numFmtId="0" fontId="0" fillId="8" borderId="0" xfId="0" applyFill="1" applyBorder="1" applyAlignment="1" applyProtection="1">
      <alignment horizontal="left" vertical="center"/>
      <protection locked="0"/>
    </xf>
    <xf numFmtId="0" fontId="0" fillId="5" borderId="0" xfId="0" applyFont="1" applyFill="1" applyBorder="1" applyAlignment="1" applyProtection="1">
      <alignment vertical="center"/>
    </xf>
    <xf numFmtId="0" fontId="0" fillId="5" borderId="0" xfId="0" applyFont="1" applyFill="1"/>
    <xf numFmtId="0" fontId="0" fillId="12" borderId="0" xfId="0" applyFont="1" applyFill="1" applyBorder="1" applyAlignment="1" applyProtection="1">
      <alignment vertical="center"/>
    </xf>
    <xf numFmtId="0" fontId="0" fillId="12" borderId="0" xfId="0" applyFont="1" applyFill="1"/>
    <xf numFmtId="0" fontId="0" fillId="11" borderId="0" xfId="0" applyFont="1" applyFill="1" applyBorder="1" applyAlignment="1" applyProtection="1">
      <alignment vertical="center"/>
    </xf>
    <xf numFmtId="0" fontId="0" fillId="11" borderId="0" xfId="0" applyFont="1" applyFill="1"/>
    <xf numFmtId="0" fontId="5" fillId="8" borderId="0" xfId="0" applyFont="1" applyFill="1" applyBorder="1" applyAlignment="1">
      <alignment vertical="center" wrapText="1"/>
    </xf>
    <xf numFmtId="0" fontId="5" fillId="8" borderId="0" xfId="0" applyFont="1" applyFill="1" applyBorder="1" applyAlignment="1">
      <alignment horizontal="left" vertical="center"/>
    </xf>
    <xf numFmtId="0" fontId="5" fillId="8" borderId="0" xfId="0" applyFont="1" applyFill="1" applyBorder="1" applyAlignment="1" applyProtection="1">
      <alignment horizontal="left" vertical="center" wrapText="1"/>
      <protection locked="0"/>
    </xf>
    <xf numFmtId="0" fontId="5" fillId="9" borderId="5" xfId="1" applyFont="1" applyFill="1" applyBorder="1" applyAlignment="1" applyProtection="1">
      <alignment horizontal="center" vertical="center"/>
      <protection locked="0"/>
    </xf>
    <xf numFmtId="0" fontId="0" fillId="8" borderId="0" xfId="0" applyFill="1" applyBorder="1" applyAlignment="1" applyProtection="1">
      <alignment vertical="center"/>
      <protection locked="0"/>
    </xf>
    <xf numFmtId="0" fontId="5" fillId="8" borderId="0" xfId="0" applyFont="1" applyFill="1" applyAlignment="1" applyProtection="1">
      <alignment horizontal="center" vertical="center"/>
      <protection locked="0"/>
    </xf>
    <xf numFmtId="11" fontId="5" fillId="9" borderId="5" xfId="1" applyNumberFormat="1" applyFont="1" applyFill="1" applyBorder="1" applyAlignment="1" applyProtection="1">
      <alignment horizontal="center" vertical="center"/>
      <protection locked="0"/>
    </xf>
    <xf numFmtId="0" fontId="5" fillId="8" borderId="0" xfId="0" applyFont="1" applyFill="1" applyAlignment="1">
      <alignment vertical="center" wrapText="1"/>
    </xf>
    <xf numFmtId="0" fontId="47" fillId="8" borderId="0" xfId="0" applyFont="1" applyFill="1" applyBorder="1" applyAlignment="1" applyProtection="1">
      <alignment vertical="center"/>
      <protection locked="0"/>
    </xf>
    <xf numFmtId="0" fontId="47" fillId="8" borderId="0" xfId="0" applyFont="1" applyFill="1" applyBorder="1" applyAlignment="1" applyProtection="1">
      <alignment horizontal="left" vertical="center"/>
      <protection locked="0"/>
    </xf>
    <xf numFmtId="0" fontId="47" fillId="8" borderId="0" xfId="0" applyFont="1" applyFill="1" applyBorder="1" applyAlignment="1" applyProtection="1">
      <alignment horizontal="center" vertical="center"/>
      <protection locked="0"/>
    </xf>
    <xf numFmtId="0" fontId="5" fillId="8" borderId="0" xfId="0" applyFont="1" applyFill="1" applyBorder="1" applyAlignment="1" applyProtection="1">
      <alignment vertical="center" wrapText="1"/>
      <protection locked="0"/>
    </xf>
    <xf numFmtId="0" fontId="5" fillId="8" borderId="0" xfId="0" applyFont="1" applyFill="1" applyAlignment="1" applyProtection="1">
      <alignment vertical="center"/>
      <protection locked="0"/>
    </xf>
    <xf numFmtId="0" fontId="5" fillId="8" borderId="0" xfId="0" applyFont="1" applyFill="1" applyBorder="1" applyAlignment="1" applyProtection="1">
      <alignment horizontal="center" vertical="center" wrapText="1"/>
      <protection locked="0"/>
    </xf>
    <xf numFmtId="14" fontId="20" fillId="4" borderId="0" xfId="0" applyNumberFormat="1" applyFont="1" applyFill="1"/>
    <xf numFmtId="0" fontId="19" fillId="4" borderId="0" xfId="17" applyFont="1" applyFill="1" applyBorder="1" applyAlignment="1">
      <alignment horizontal="left" vertical="center" wrapText="1"/>
    </xf>
    <xf numFmtId="0" fontId="23" fillId="4" borderId="0" xfId="0" applyFont="1" applyFill="1" applyAlignment="1">
      <alignment horizontal="left" vertical="center" wrapText="1"/>
    </xf>
    <xf numFmtId="0" fontId="55" fillId="4" borderId="0" xfId="20" applyFont="1" applyFill="1" applyBorder="1" applyAlignment="1">
      <alignment horizontal="left" vertical="center" wrapText="1"/>
    </xf>
    <xf numFmtId="0" fontId="55" fillId="4" borderId="0" xfId="20" applyFont="1" applyFill="1" applyBorder="1" applyAlignment="1">
      <alignment horizontal="left" vertical="center"/>
    </xf>
    <xf numFmtId="0" fontId="9" fillId="4" borderId="0" xfId="20" applyFill="1" applyBorder="1" applyAlignment="1">
      <alignment horizontal="left" vertical="center"/>
    </xf>
    <xf numFmtId="0" fontId="41" fillId="4" borderId="0" xfId="0" applyFont="1" applyFill="1" applyBorder="1" applyAlignment="1" applyProtection="1">
      <alignment horizontal="left" vertical="center" wrapText="1"/>
      <protection locked="0"/>
    </xf>
    <xf numFmtId="0" fontId="0" fillId="8" borderId="0" xfId="0" applyFill="1" applyBorder="1" applyAlignment="1" applyProtection="1">
      <alignment horizontal="left" vertical="center"/>
      <protection locked="0"/>
    </xf>
    <xf numFmtId="0" fontId="0" fillId="8" borderId="0" xfId="0" applyFont="1" applyFill="1" applyBorder="1" applyAlignment="1" applyProtection="1">
      <alignment horizontal="left" vertical="center" wrapText="1"/>
      <protection locked="0"/>
    </xf>
    <xf numFmtId="0" fontId="7" fillId="4" borderId="0" xfId="0" applyFont="1" applyFill="1" applyBorder="1" applyAlignment="1" applyProtection="1">
      <alignment horizontal="left" vertical="center"/>
      <protection locked="0"/>
    </xf>
    <xf numFmtId="0" fontId="26" fillId="4" borderId="0" xfId="21" quotePrefix="1" applyFont="1" applyFill="1" applyBorder="1" applyAlignment="1" applyProtection="1">
      <alignment horizontal="left" vertical="center" wrapText="1"/>
      <protection locked="0"/>
    </xf>
    <xf numFmtId="0" fontId="26" fillId="4" borderId="0" xfId="21" applyFont="1" applyFill="1" applyBorder="1" applyAlignment="1" applyProtection="1">
      <alignment horizontal="left" vertical="center" wrapText="1"/>
      <protection locked="0"/>
    </xf>
    <xf numFmtId="0" fontId="0" fillId="8" borderId="0" xfId="0" applyFill="1" applyBorder="1" applyAlignment="1" applyProtection="1">
      <alignment horizontal="left" vertical="center" wrapText="1"/>
      <protection locked="0"/>
    </xf>
    <xf numFmtId="0" fontId="49" fillId="11" borderId="0" xfId="21" applyFont="1" applyFill="1" applyBorder="1" applyAlignment="1" applyProtection="1">
      <alignment horizontal="center" vertical="center" wrapText="1"/>
      <protection locked="0"/>
    </xf>
    <xf numFmtId="0" fontId="23" fillId="11" borderId="0" xfId="21" applyFont="1" applyFill="1" applyBorder="1" applyAlignment="1" applyProtection="1">
      <alignment horizontal="center" vertical="center" wrapText="1"/>
      <protection locked="0"/>
    </xf>
    <xf numFmtId="0" fontId="5" fillId="4" borderId="0" xfId="0" applyFont="1" applyFill="1" applyBorder="1" applyAlignment="1" applyProtection="1">
      <alignment horizontal="left" vertical="center"/>
      <protection locked="0"/>
    </xf>
    <xf numFmtId="0" fontId="43" fillId="10" borderId="0" xfId="21" applyFont="1" applyFill="1" applyBorder="1" applyAlignment="1" applyProtection="1">
      <alignment horizontal="center" vertical="center" wrapText="1"/>
      <protection locked="0"/>
    </xf>
    <xf numFmtId="0" fontId="42" fillId="10" borderId="0" xfId="21" applyFont="1" applyFill="1" applyBorder="1" applyAlignment="1" applyProtection="1">
      <alignment horizontal="center" vertical="center" wrapText="1"/>
      <protection locked="0"/>
    </xf>
    <xf numFmtId="0" fontId="35" fillId="4" borderId="0" xfId="21" applyFont="1" applyFill="1" applyBorder="1" applyAlignment="1" applyProtection="1">
      <alignment horizontal="left" vertical="center" wrapText="1"/>
      <protection locked="0"/>
    </xf>
    <xf numFmtId="0" fontId="7" fillId="4" borderId="0" xfId="0" applyFont="1" applyFill="1" applyBorder="1" applyAlignment="1" applyProtection="1">
      <alignment horizontal="left" vertical="center" wrapText="1"/>
      <protection locked="0"/>
    </xf>
    <xf numFmtId="0" fontId="44" fillId="4" borderId="10" xfId="20" applyFont="1" applyFill="1" applyBorder="1" applyAlignment="1" applyProtection="1">
      <alignment horizontal="left" vertical="center" wrapText="1"/>
      <protection locked="0"/>
    </xf>
    <xf numFmtId="0" fontId="44" fillId="4" borderId="0" xfId="20" applyFont="1" applyFill="1" applyBorder="1" applyAlignment="1" applyProtection="1">
      <alignment horizontal="left" vertical="center" wrapText="1"/>
      <protection locked="0"/>
    </xf>
    <xf numFmtId="0" fontId="44" fillId="4" borderId="11" xfId="20" applyFont="1" applyFill="1" applyBorder="1" applyAlignment="1" applyProtection="1">
      <alignment horizontal="left" vertical="center" wrapText="1"/>
      <protection locked="0"/>
    </xf>
    <xf numFmtId="0" fontId="19" fillId="4" borderId="0" xfId="17" applyFont="1" applyFill="1" applyBorder="1" applyAlignment="1" applyProtection="1">
      <alignment horizontal="left" vertical="center" wrapText="1"/>
      <protection locked="0"/>
    </xf>
    <xf numFmtId="0" fontId="22" fillId="9" borderId="0" xfId="18" applyFont="1" applyFill="1" applyBorder="1" applyAlignment="1" applyProtection="1">
      <alignment horizontal="left" vertical="center" wrapText="1"/>
      <protection locked="0"/>
    </xf>
    <xf numFmtId="0" fontId="8" fillId="6" borderId="2" xfId="2" applyAlignment="1" applyProtection="1">
      <alignment horizontal="center" vertical="center" wrapText="1"/>
      <protection locked="0"/>
    </xf>
    <xf numFmtId="0" fontId="45" fillId="4" borderId="10" xfId="20" applyFont="1" applyFill="1" applyBorder="1" applyAlignment="1" applyProtection="1">
      <alignment horizontal="left" vertical="center" wrapText="1"/>
      <protection locked="0"/>
    </xf>
    <xf numFmtId="0" fontId="45" fillId="4" borderId="0" xfId="20" applyFont="1" applyFill="1" applyBorder="1" applyAlignment="1" applyProtection="1">
      <alignment horizontal="left" vertical="center" wrapText="1"/>
      <protection locked="0"/>
    </xf>
    <xf numFmtId="0" fontId="45" fillId="4" borderId="11" xfId="20" applyFont="1" applyFill="1" applyBorder="1" applyAlignment="1" applyProtection="1">
      <alignment horizontal="left" vertical="center" wrapText="1"/>
      <protection locked="0"/>
    </xf>
    <xf numFmtId="0" fontId="35" fillId="4" borderId="0" xfId="21" applyFont="1" applyFill="1" applyBorder="1" applyAlignment="1" applyProtection="1">
      <alignment horizontal="left" vertical="center"/>
      <protection locked="0"/>
    </xf>
    <xf numFmtId="0" fontId="5" fillId="4" borderId="0" xfId="0" applyFont="1" applyFill="1" applyAlignment="1" applyProtection="1">
      <alignment horizontal="left" vertical="center" wrapText="1"/>
      <protection locked="0"/>
    </xf>
    <xf numFmtId="0" fontId="21" fillId="4" borderId="7" xfId="0" applyFont="1" applyFill="1" applyBorder="1" applyAlignment="1" applyProtection="1">
      <alignment horizontal="left" vertical="center"/>
      <protection locked="0"/>
    </xf>
    <xf numFmtId="0" fontId="21" fillId="4" borderId="8" xfId="0" applyFont="1" applyFill="1" applyBorder="1" applyAlignment="1" applyProtection="1">
      <alignment horizontal="left" vertical="center"/>
      <protection locked="0"/>
    </xf>
    <xf numFmtId="0" fontId="21" fillId="4" borderId="9" xfId="0" applyFont="1" applyFill="1" applyBorder="1" applyAlignment="1" applyProtection="1">
      <alignment horizontal="left" vertical="center"/>
      <protection locked="0"/>
    </xf>
    <xf numFmtId="0" fontId="21" fillId="4" borderId="10" xfId="0" applyFont="1" applyFill="1" applyBorder="1" applyAlignment="1" applyProtection="1">
      <alignment horizontal="left" vertical="center" wrapText="1"/>
      <protection locked="0"/>
    </xf>
    <xf numFmtId="0" fontId="21" fillId="4" borderId="0" xfId="0" applyFont="1" applyFill="1" applyBorder="1" applyAlignment="1" applyProtection="1">
      <alignment horizontal="left" vertical="center" wrapText="1"/>
      <protection locked="0"/>
    </xf>
    <xf numFmtId="0" fontId="21" fillId="4" borderId="11" xfId="0" applyFont="1" applyFill="1" applyBorder="1" applyAlignment="1" applyProtection="1">
      <alignment horizontal="left" vertical="center" wrapText="1"/>
      <protection locked="0"/>
    </xf>
    <xf numFmtId="0" fontId="44" fillId="4" borderId="10" xfId="20" applyFont="1" applyFill="1" applyBorder="1" applyAlignment="1" applyProtection="1">
      <alignment horizontal="left" vertical="center"/>
      <protection locked="0"/>
    </xf>
    <xf numFmtId="0" fontId="44" fillId="4" borderId="0" xfId="20" applyFont="1" applyFill="1" applyBorder="1" applyAlignment="1" applyProtection="1">
      <alignment horizontal="left" vertical="center"/>
      <protection locked="0"/>
    </xf>
    <xf numFmtId="0" fontId="44" fillId="4" borderId="11" xfId="20" applyFont="1" applyFill="1" applyBorder="1" applyAlignment="1" applyProtection="1">
      <alignment horizontal="left" vertical="center"/>
      <protection locked="0"/>
    </xf>
    <xf numFmtId="0" fontId="0" fillId="8" borderId="0" xfId="0" applyFont="1" applyFill="1" applyBorder="1" applyAlignment="1" applyProtection="1">
      <alignment horizontal="left" vertical="center"/>
      <protection locked="0"/>
    </xf>
    <xf numFmtId="0" fontId="5" fillId="8" borderId="0" xfId="0" applyFont="1" applyFill="1" applyBorder="1" applyAlignment="1" applyProtection="1">
      <alignment horizontal="left" vertical="center" wrapText="1"/>
      <protection locked="0"/>
    </xf>
    <xf numFmtId="0" fontId="44" fillId="4" borderId="10" xfId="20" quotePrefix="1" applyFont="1" applyFill="1" applyBorder="1"/>
    <xf numFmtId="0" fontId="44" fillId="4" borderId="0" xfId="20" applyFont="1" applyFill="1" applyBorder="1"/>
    <xf numFmtId="0" fontId="44" fillId="4" borderId="11" xfId="20" applyFont="1" applyFill="1" applyBorder="1"/>
    <xf numFmtId="0" fontId="44" fillId="0" borderId="10" xfId="20" applyFont="1" applyBorder="1"/>
    <xf numFmtId="0" fontId="44" fillId="0" borderId="0" xfId="20" applyFont="1" applyBorder="1"/>
    <xf numFmtId="0" fontId="44" fillId="0" borderId="11" xfId="20" applyFont="1" applyBorder="1"/>
    <xf numFmtId="0" fontId="0" fillId="8" borderId="19" xfId="0" applyFont="1" applyFill="1" applyBorder="1" applyAlignment="1" applyProtection="1">
      <alignment horizontal="left" vertical="center" wrapText="1"/>
      <protection locked="0"/>
    </xf>
    <xf numFmtId="0" fontId="4" fillId="8" borderId="0" xfId="0" applyFont="1" applyFill="1" applyBorder="1" applyAlignment="1" applyProtection="1">
      <alignment horizontal="left" vertical="center" wrapText="1"/>
      <protection locked="0"/>
    </xf>
    <xf numFmtId="0" fontId="5" fillId="4" borderId="0" xfId="0" applyFont="1" applyFill="1" applyBorder="1" applyAlignment="1" applyProtection="1">
      <alignment horizontal="left" vertical="center" wrapText="1"/>
      <protection locked="0"/>
    </xf>
    <xf numFmtId="0" fontId="36" fillId="4" borderId="0" xfId="0" applyFont="1" applyFill="1" applyBorder="1" applyAlignment="1" applyProtection="1">
      <alignment horizontal="left" vertical="center" wrapText="1"/>
      <protection locked="0"/>
    </xf>
    <xf numFmtId="0" fontId="5" fillId="8" borderId="0" xfId="0" applyFont="1" applyFill="1" applyBorder="1" applyAlignment="1">
      <alignment horizontal="left" vertical="center" wrapText="1"/>
    </xf>
    <xf numFmtId="0" fontId="33" fillId="4" borderId="0" xfId="0" applyFont="1" applyFill="1" applyAlignment="1" applyProtection="1">
      <alignment horizontal="left" vertical="center" wrapText="1"/>
      <protection locked="0"/>
    </xf>
    <xf numFmtId="0" fontId="5" fillId="8" borderId="0" xfId="0" applyFont="1" applyFill="1" applyAlignment="1" applyProtection="1">
      <alignment horizontal="left" vertical="center" wrapText="1"/>
      <protection locked="0"/>
    </xf>
    <xf numFmtId="0" fontId="44" fillId="4" borderId="10" xfId="20" applyFont="1" applyFill="1" applyBorder="1"/>
    <xf numFmtId="0" fontId="44" fillId="4" borderId="10" xfId="20" quotePrefix="1" applyFont="1" applyFill="1" applyBorder="1" applyAlignment="1">
      <alignment horizontal="left" vertical="center"/>
    </xf>
    <xf numFmtId="0" fontId="44" fillId="4" borderId="0" xfId="20" quotePrefix="1" applyFont="1" applyFill="1" applyBorder="1" applyAlignment="1">
      <alignment horizontal="left" vertical="center"/>
    </xf>
    <xf numFmtId="0" fontId="44" fillId="4" borderId="11" xfId="20" quotePrefix="1" applyFont="1" applyFill="1" applyBorder="1" applyAlignment="1">
      <alignment horizontal="left" vertical="center"/>
    </xf>
    <xf numFmtId="0" fontId="4" fillId="8" borderId="0" xfId="0" applyFont="1" applyFill="1" applyBorder="1" applyAlignment="1" applyProtection="1">
      <alignment horizontal="left" vertical="center"/>
      <protection locked="0"/>
    </xf>
    <xf numFmtId="0" fontId="0" fillId="8" borderId="15" xfId="0" quotePrefix="1" applyFill="1" applyBorder="1" applyAlignment="1" applyProtection="1">
      <alignment horizontal="right" vertical="center"/>
      <protection locked="0"/>
    </xf>
    <xf numFmtId="0" fontId="0" fillId="8" borderId="15" xfId="0" applyFill="1" applyBorder="1" applyAlignment="1" applyProtection="1">
      <alignment horizontal="right" vertical="center"/>
      <protection locked="0"/>
    </xf>
    <xf numFmtId="0" fontId="44" fillId="0" borderId="10" xfId="20" quotePrefix="1" applyFont="1" applyBorder="1"/>
  </cellXfs>
  <cellStyles count="319">
    <cellStyle name="20% - Accent1 2" xfId="29"/>
    <cellStyle name="20% - Accent1 3" xfId="30"/>
    <cellStyle name="20% - Accent1 3 2" xfId="301"/>
    <cellStyle name="20% - Accent2 2" xfId="31"/>
    <cellStyle name="20% - Accent2 3" xfId="32"/>
    <cellStyle name="20% - Accent2 3 2" xfId="302"/>
    <cellStyle name="20% - Accent3 2" xfId="33"/>
    <cellStyle name="20% - Accent3 3" xfId="34"/>
    <cellStyle name="20% - Accent3 3 2" xfId="303"/>
    <cellStyle name="20% - Accent4 2" xfId="35"/>
    <cellStyle name="20% - Accent4 3" xfId="36"/>
    <cellStyle name="20% - Accent4 3 2" xfId="304"/>
    <cellStyle name="20% - Accent5 2" xfId="37"/>
    <cellStyle name="20% - Accent5 3" xfId="38"/>
    <cellStyle name="20% - Accent5 3 2" xfId="305"/>
    <cellStyle name="20% - Accent6 2" xfId="39"/>
    <cellStyle name="20% - Accent6 3" xfId="40"/>
    <cellStyle name="20% - Accent6 3 2" xfId="306"/>
    <cellStyle name="40% - Accent1 2" xfId="41"/>
    <cellStyle name="40% - Accent1 3" xfId="42"/>
    <cellStyle name="40% - Accent1 3 2" xfId="307"/>
    <cellStyle name="40% - Accent2 2" xfId="43"/>
    <cellStyle name="40% - Accent2 3" xfId="44"/>
    <cellStyle name="40% - Accent2 3 2" xfId="308"/>
    <cellStyle name="40% - Accent3 2" xfId="45"/>
    <cellStyle name="40% - Accent3 3" xfId="46"/>
    <cellStyle name="40% - Accent3 3 2" xfId="309"/>
    <cellStyle name="40% - Accent4 2" xfId="47"/>
    <cellStyle name="40% - Accent4 3" xfId="48"/>
    <cellStyle name="40% - Accent4 3 2" xfId="310"/>
    <cellStyle name="40% - Accent5 2" xfId="49"/>
    <cellStyle name="40% - Accent5 3" xfId="50"/>
    <cellStyle name="40% - Accent5 3 2" xfId="311"/>
    <cellStyle name="40% - Accent6 2" xfId="51"/>
    <cellStyle name="40% - Accent6 3" xfId="52"/>
    <cellStyle name="40% - Accent6 3 2" xfId="312"/>
    <cellStyle name="60% - Accent1 2" xfId="53"/>
    <cellStyle name="60% - Accent2 2" xfId="54"/>
    <cellStyle name="60% - Accent3 2" xfId="55"/>
    <cellStyle name="60% - Accent4 2" xfId="56"/>
    <cellStyle name="60% - Accent5 2" xfId="57"/>
    <cellStyle name="60% - Accent6 2" xfId="58"/>
    <cellStyle name="Accent1 - 20%" xfId="59"/>
    <cellStyle name="Accent1 - 40%" xfId="60"/>
    <cellStyle name="Accent1 - 60%" xfId="61"/>
    <cellStyle name="Accent1 2" xfId="62"/>
    <cellStyle name="Accent1 3" xfId="280"/>
    <cellStyle name="Accent1 4" xfId="281"/>
    <cellStyle name="Accent1 5" xfId="282"/>
    <cellStyle name="Accent2 - 20%" xfId="63"/>
    <cellStyle name="Accent2 - 40%" xfId="64"/>
    <cellStyle name="Accent2 - 60%" xfId="65"/>
    <cellStyle name="Accent2 2" xfId="66"/>
    <cellStyle name="Accent2 3" xfId="283"/>
    <cellStyle name="Accent2 4" xfId="284"/>
    <cellStyle name="Accent2 5" xfId="285"/>
    <cellStyle name="Accent3 - 20%" xfId="67"/>
    <cellStyle name="Accent3 - 40%" xfId="68"/>
    <cellStyle name="Accent3 - 60%" xfId="69"/>
    <cellStyle name="Accent3 2" xfId="70"/>
    <cellStyle name="Accent3 3" xfId="286"/>
    <cellStyle name="Accent3 4" xfId="287"/>
    <cellStyle name="Accent3 5" xfId="288"/>
    <cellStyle name="Accent4 - 20%" xfId="71"/>
    <cellStyle name="Accent4 - 40%" xfId="72"/>
    <cellStyle name="Accent4 - 60%" xfId="73"/>
    <cellStyle name="Accent4 2" xfId="74"/>
    <cellStyle name="Accent4 3" xfId="289"/>
    <cellStyle name="Accent4 4" xfId="290"/>
    <cellStyle name="Accent4 5" xfId="291"/>
    <cellStyle name="Accent5 - 20%" xfId="75"/>
    <cellStyle name="Accent5 - 40%" xfId="76"/>
    <cellStyle name="Accent5 - 60%" xfId="77"/>
    <cellStyle name="Accent5 2" xfId="78"/>
    <cellStyle name="Accent5 3" xfId="292"/>
    <cellStyle name="Accent5 4" xfId="293"/>
    <cellStyle name="Accent5 5" xfId="294"/>
    <cellStyle name="Accent6 - 20%" xfId="79"/>
    <cellStyle name="Accent6 - 40%" xfId="80"/>
    <cellStyle name="Accent6 - 60%" xfId="81"/>
    <cellStyle name="Accent6 2" xfId="82"/>
    <cellStyle name="Accent6 3" xfId="295"/>
    <cellStyle name="Accent6 4" xfId="296"/>
    <cellStyle name="Accent6 5" xfId="297"/>
    <cellStyle name="Bad 2" xfId="83"/>
    <cellStyle name="Calculation" xfId="22" builtinId="22"/>
    <cellStyle name="Calculation 2" xfId="24"/>
    <cellStyle name="Calculation 2 2" xfId="84"/>
    <cellStyle name="Calculation 3" xfId="25"/>
    <cellStyle name="Check Cell" xfId="2" builtinId="23"/>
    <cellStyle name="Check Cell 2" xfId="85"/>
    <cellStyle name="Check Cell 3" xfId="86"/>
    <cellStyle name="Comma 2" xfId="87"/>
    <cellStyle name="Comma 2 2" xfId="88"/>
    <cellStyle name="Comma 3" xfId="89"/>
    <cellStyle name="Comma 3 2" xfId="90"/>
    <cellStyle name="Comma 4" xfId="91"/>
    <cellStyle name="Comma 4 2" xfId="313"/>
    <cellStyle name="Comma 5" xfId="92"/>
    <cellStyle name="Currency 2" xfId="93"/>
    <cellStyle name="Currency 2 2" xfId="314"/>
    <cellStyle name="Emphasis 1" xfId="94"/>
    <cellStyle name="Emphasis 2" xfId="95"/>
    <cellStyle name="Emphasis 3" xfId="96"/>
    <cellStyle name="Explanatory Text 2" xfId="97"/>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Good 2" xfId="98"/>
    <cellStyle name="Good 3" xfId="99"/>
    <cellStyle name="Heading 1" xfId="17" builtinId="16"/>
    <cellStyle name="Heading 1 2" xfId="100"/>
    <cellStyle name="Heading 2 2" xfId="101"/>
    <cellStyle name="Heading 3 2" xfId="102"/>
    <cellStyle name="Heading 4" xfId="21" builtinId="19"/>
    <cellStyle name="Heading 4 2" xfId="103"/>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20" builtinId="8"/>
    <cellStyle name="Input" xfId="1" builtinId="20"/>
    <cellStyle name="Input 2" xfId="104"/>
    <cellStyle name="Legal 8½ x 14 in" xfId="105"/>
    <cellStyle name="Legal 8½ x 14 in 2" xfId="106"/>
    <cellStyle name="Legal 8½ x 14 in 2 2" xfId="107"/>
    <cellStyle name="Legal 8½ x 14 in 3" xfId="108"/>
    <cellStyle name="Linked Cell 2" xfId="109"/>
    <cellStyle name="Neutral 2" xfId="110"/>
    <cellStyle name="Normal" xfId="0" builtinId="0"/>
    <cellStyle name="Normal 10" xfId="111"/>
    <cellStyle name="Normal 11" xfId="112"/>
    <cellStyle name="Normal 12" xfId="26"/>
    <cellStyle name="Normal 12 2" xfId="300"/>
    <cellStyle name="Normal 2" xfId="18"/>
    <cellStyle name="Normal 2 2" xfId="19"/>
    <cellStyle name="Normal 2 3" xfId="113"/>
    <cellStyle name="Normal 2 3 2" xfId="315"/>
    <cellStyle name="Normal 3" xfId="28"/>
    <cellStyle name="Normal 3 2" xfId="114"/>
    <cellStyle name="Normal 4" xfId="115"/>
    <cellStyle name="Normal 5" xfId="116"/>
    <cellStyle name="Normal 6" xfId="117"/>
    <cellStyle name="Normal 6 2" xfId="316"/>
    <cellStyle name="Normal 7" xfId="118"/>
    <cellStyle name="Normal 8" xfId="119"/>
    <cellStyle name="Normal 8 2" xfId="317"/>
    <cellStyle name="Normal 9" xfId="120"/>
    <cellStyle name="Note 2" xfId="121"/>
    <cellStyle name="Note 2 2" xfId="122"/>
    <cellStyle name="Note 3" xfId="123"/>
    <cellStyle name="Note 3 2" xfId="124"/>
    <cellStyle name="Note 4" xfId="125"/>
    <cellStyle name="Note 5" xfId="126"/>
    <cellStyle name="Note 5 2" xfId="318"/>
    <cellStyle name="Output" xfId="23" builtinId="21"/>
    <cellStyle name="Output 2" xfId="127"/>
    <cellStyle name="Percent 2" xfId="27"/>
    <cellStyle name="SAPBEXaggData" xfId="128"/>
    <cellStyle name="SAPBEXaggData 2" xfId="129"/>
    <cellStyle name="SAPBEXaggDataEmph" xfId="130"/>
    <cellStyle name="SAPBEXaggDataEmph 2" xfId="131"/>
    <cellStyle name="SAPBEXaggItem" xfId="132"/>
    <cellStyle name="SAPBEXaggItem 2" xfId="133"/>
    <cellStyle name="SAPBEXaggItemX" xfId="134"/>
    <cellStyle name="SAPBEXaggItemX 2" xfId="135"/>
    <cellStyle name="SAPBEXchaText" xfId="136"/>
    <cellStyle name="SAPBEXchaText 2" xfId="137"/>
    <cellStyle name="SAPBEXchaText 2 2" xfId="138"/>
    <cellStyle name="SAPBEXchaText 3" xfId="139"/>
    <cellStyle name="SAPBEXchaText 3 2" xfId="140"/>
    <cellStyle name="SAPBEXchaText 4" xfId="141"/>
    <cellStyle name="SAPBEXexcBad7" xfId="142"/>
    <cellStyle name="SAPBEXexcBad8" xfId="143"/>
    <cellStyle name="SAPBEXexcBad9" xfId="144"/>
    <cellStyle name="SAPBEXexcCritical4" xfId="145"/>
    <cellStyle name="SAPBEXexcCritical5" xfId="146"/>
    <cellStyle name="SAPBEXexcCritical6" xfId="147"/>
    <cellStyle name="SAPBEXexcGood1" xfId="148"/>
    <cellStyle name="SAPBEXexcGood2" xfId="149"/>
    <cellStyle name="SAPBEXexcGood3" xfId="150"/>
    <cellStyle name="SAPBEXfilterDrill" xfId="151"/>
    <cellStyle name="SAPBEXfilterDrill 2" xfId="152"/>
    <cellStyle name="SAPBEXfilterItem" xfId="153"/>
    <cellStyle name="SAPBEXfilterItem 2" xfId="154"/>
    <cellStyle name="SAPBEXfilterText" xfId="155"/>
    <cellStyle name="SAPBEXfilterText 2" xfId="156"/>
    <cellStyle name="SAPBEXfilterText 3" xfId="157"/>
    <cellStyle name="SAPBEXfilterText 3 2" xfId="158"/>
    <cellStyle name="SAPBEXformats" xfId="159"/>
    <cellStyle name="SAPBEXheaderItem" xfId="160"/>
    <cellStyle name="SAPBEXheaderItem 2" xfId="161"/>
    <cellStyle name="SAPBEXheaderItem 3" xfId="162"/>
    <cellStyle name="SAPBEXheaderItem 4" xfId="163"/>
    <cellStyle name="SAPBEXheaderItem 4 2" xfId="164"/>
    <cellStyle name="SAPBEXheaderText" xfId="165"/>
    <cellStyle name="SAPBEXheaderText 2" xfId="166"/>
    <cellStyle name="SAPBEXheaderText 3" xfId="167"/>
    <cellStyle name="SAPBEXheaderText 4" xfId="168"/>
    <cellStyle name="SAPBEXheaderText 4 2" xfId="169"/>
    <cellStyle name="SAPBEXHLevel0" xfId="170"/>
    <cellStyle name="SAPBEXHLevel0 2" xfId="171"/>
    <cellStyle name="SAPBEXHLevel0 2 2" xfId="172"/>
    <cellStyle name="SAPBEXHLevel0 3" xfId="173"/>
    <cellStyle name="SAPBEXHLevel0 3 2" xfId="174"/>
    <cellStyle name="SAPBEXHLevel0 4" xfId="175"/>
    <cellStyle name="SAPBEXHLevel0 4 2" xfId="176"/>
    <cellStyle name="SAPBEXHLevel0 5" xfId="177"/>
    <cellStyle name="SAPBEXHLevel0 5 2" xfId="178"/>
    <cellStyle name="SAPBEXHLevel0X" xfId="179"/>
    <cellStyle name="SAPBEXHLevel0X 2" xfId="180"/>
    <cellStyle name="SAPBEXHLevel0X 2 2" xfId="181"/>
    <cellStyle name="SAPBEXHLevel0X 3" xfId="182"/>
    <cellStyle name="SAPBEXHLevel0X 3 2" xfId="183"/>
    <cellStyle name="SAPBEXHLevel0X 4" xfId="184"/>
    <cellStyle name="SAPBEXHLevel0X 4 2" xfId="185"/>
    <cellStyle name="SAPBEXHLevel0X 5" xfId="186"/>
    <cellStyle name="SAPBEXHLevel0X 5 2" xfId="187"/>
    <cellStyle name="SAPBEXHLevel1" xfId="188"/>
    <cellStyle name="SAPBEXHLevel1 2" xfId="189"/>
    <cellStyle name="SAPBEXHLevel1 2 2" xfId="190"/>
    <cellStyle name="SAPBEXHLevel1 3" xfId="191"/>
    <cellStyle name="SAPBEXHLevel1 3 2" xfId="192"/>
    <cellStyle name="SAPBEXHLevel1 4" xfId="193"/>
    <cellStyle name="SAPBEXHLevel1 4 2" xfId="194"/>
    <cellStyle name="SAPBEXHLevel1 5" xfId="195"/>
    <cellStyle name="SAPBEXHLevel1 5 2" xfId="196"/>
    <cellStyle name="SAPBEXHLevel1X" xfId="197"/>
    <cellStyle name="SAPBEXHLevel1X 2" xfId="198"/>
    <cellStyle name="SAPBEXHLevel1X 2 2" xfId="199"/>
    <cellStyle name="SAPBEXHLevel1X 3" xfId="200"/>
    <cellStyle name="SAPBEXHLevel1X 3 2" xfId="201"/>
    <cellStyle name="SAPBEXHLevel1X 4" xfId="202"/>
    <cellStyle name="SAPBEXHLevel1X 4 2" xfId="203"/>
    <cellStyle name="SAPBEXHLevel1X 5" xfId="204"/>
    <cellStyle name="SAPBEXHLevel1X 5 2" xfId="205"/>
    <cellStyle name="SAPBEXHLevel2" xfId="206"/>
    <cellStyle name="SAPBEXHLevel2 2" xfId="207"/>
    <cellStyle name="SAPBEXHLevel2 2 2" xfId="208"/>
    <cellStyle name="SAPBEXHLevel2 3" xfId="209"/>
    <cellStyle name="SAPBEXHLevel2 3 2" xfId="210"/>
    <cellStyle name="SAPBEXHLevel2 4" xfId="211"/>
    <cellStyle name="SAPBEXHLevel2 4 2" xfId="212"/>
    <cellStyle name="SAPBEXHLevel2 5" xfId="213"/>
    <cellStyle name="SAPBEXHLevel2 5 2" xfId="214"/>
    <cellStyle name="SAPBEXHLevel2X" xfId="215"/>
    <cellStyle name="SAPBEXHLevel2X 2" xfId="216"/>
    <cellStyle name="SAPBEXHLevel2X 2 2" xfId="217"/>
    <cellStyle name="SAPBEXHLevel2X 3" xfId="218"/>
    <cellStyle name="SAPBEXHLevel2X 3 2" xfId="219"/>
    <cellStyle name="SAPBEXHLevel2X 4" xfId="220"/>
    <cellStyle name="SAPBEXHLevel2X 4 2" xfId="221"/>
    <cellStyle name="SAPBEXHLevel2X 5" xfId="222"/>
    <cellStyle name="SAPBEXHLevel2X 5 2" xfId="223"/>
    <cellStyle name="SAPBEXHLevel3" xfId="224"/>
    <cellStyle name="SAPBEXHLevel3 2" xfId="225"/>
    <cellStyle name="SAPBEXHLevel3 2 2" xfId="226"/>
    <cellStyle name="SAPBEXHLevel3 3" xfId="227"/>
    <cellStyle name="SAPBEXHLevel3 3 2" xfId="228"/>
    <cellStyle name="SAPBEXHLevel3 4" xfId="229"/>
    <cellStyle name="SAPBEXHLevel3 4 2" xfId="230"/>
    <cellStyle name="SAPBEXHLevel3 5" xfId="231"/>
    <cellStyle name="SAPBEXHLevel3 5 2" xfId="232"/>
    <cellStyle name="SAPBEXHLevel3X" xfId="233"/>
    <cellStyle name="SAPBEXHLevel3X 2" xfId="234"/>
    <cellStyle name="SAPBEXHLevel3X 2 2" xfId="235"/>
    <cellStyle name="SAPBEXHLevel3X 3" xfId="236"/>
    <cellStyle name="SAPBEXHLevel3X 3 2" xfId="237"/>
    <cellStyle name="SAPBEXHLevel3X 4" xfId="238"/>
    <cellStyle name="SAPBEXHLevel3X 4 2" xfId="239"/>
    <cellStyle name="SAPBEXHLevel3X 5" xfId="240"/>
    <cellStyle name="SAPBEXHLevel3X 5 2" xfId="241"/>
    <cellStyle name="SAPBEXinputData" xfId="242"/>
    <cellStyle name="SAPBEXinputData 2" xfId="243"/>
    <cellStyle name="SAPBEXinputData 2 2" xfId="244"/>
    <cellStyle name="SAPBEXinputData 3" xfId="245"/>
    <cellStyle name="SAPBEXinputData 3 2" xfId="246"/>
    <cellStyle name="SAPBEXItemHeader" xfId="298"/>
    <cellStyle name="SAPBEXresData" xfId="247"/>
    <cellStyle name="SAPBEXresData 2" xfId="248"/>
    <cellStyle name="SAPBEXresDataEmph" xfId="249"/>
    <cellStyle name="SAPBEXresDataEmph 2" xfId="250"/>
    <cellStyle name="SAPBEXresItem" xfId="251"/>
    <cellStyle name="SAPBEXresItem 2" xfId="252"/>
    <cellStyle name="SAPBEXresItemX" xfId="253"/>
    <cellStyle name="SAPBEXresItemX 2" xfId="254"/>
    <cellStyle name="SAPBEXstdData" xfId="255"/>
    <cellStyle name="SAPBEXstdData 2" xfId="256"/>
    <cellStyle name="SAPBEXstdDataEmph" xfId="257"/>
    <cellStyle name="SAPBEXstdItem" xfId="258"/>
    <cellStyle name="SAPBEXstdItem 2" xfId="259"/>
    <cellStyle name="SAPBEXstdItem 2 2" xfId="260"/>
    <cellStyle name="SAPBEXstdItem 3" xfId="261"/>
    <cellStyle name="SAPBEXstdItem 3 2" xfId="262"/>
    <cellStyle name="SAPBEXstdItem 4" xfId="263"/>
    <cellStyle name="SAPBEXstdItem_EXPLODEDFCST191109" xfId="264"/>
    <cellStyle name="SAPBEXstdItemX" xfId="265"/>
    <cellStyle name="SAPBEXstdItemX 2" xfId="266"/>
    <cellStyle name="SAPBEXstdItemX 2 2" xfId="267"/>
    <cellStyle name="SAPBEXstdItemX 3" xfId="268"/>
    <cellStyle name="SAPBEXstdItemX 3 2" xfId="269"/>
    <cellStyle name="SAPBEXstdItemX 4" xfId="270"/>
    <cellStyle name="SAPBEXtitle" xfId="271"/>
    <cellStyle name="SAPBEXtitle 2" xfId="272"/>
    <cellStyle name="SAPBEXtitle 3" xfId="273"/>
    <cellStyle name="SAPBEXtitle 3 2" xfId="274"/>
    <cellStyle name="SAPBEXunassignedItem" xfId="299"/>
    <cellStyle name="SAPBEXundefined" xfId="275"/>
    <cellStyle name="Sheet Title" xfId="276"/>
    <cellStyle name="Title 2" xfId="277"/>
    <cellStyle name="Total 2" xfId="278"/>
    <cellStyle name="Warning Text 2" xfId="279"/>
  </cellStyles>
  <dxfs count="11">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vertical/>
        <horizontal/>
      </border>
    </dxf>
    <dxf>
      <fill>
        <patternFill>
          <bgColor rgb="FFEFB011"/>
        </patternFill>
      </fill>
      <border>
        <left style="thin">
          <color auto="1"/>
        </left>
        <right style="thin">
          <color auto="1"/>
        </right>
        <top style="thin">
          <color auto="1"/>
        </top>
        <bottom style="thin">
          <color auto="1"/>
        </bottom>
        <vertical/>
        <horizontal/>
      </border>
    </dxf>
    <dxf>
      <fill>
        <patternFill>
          <bgColor rgb="FFEFB011"/>
        </patternFill>
      </fill>
      <border>
        <left style="thin">
          <color auto="1"/>
        </left>
        <right style="thin">
          <color auto="1"/>
        </right>
        <top style="thin">
          <color auto="1"/>
        </top>
        <bottom style="thin">
          <color auto="1"/>
        </bottom>
        <vertical/>
        <horizontal/>
      </border>
    </dxf>
    <dxf>
      <fill>
        <patternFill>
          <bgColor rgb="FFEFB011"/>
        </patternFill>
      </fill>
      <border>
        <left style="thin">
          <color auto="1"/>
        </left>
        <right style="thin">
          <color auto="1"/>
        </right>
        <top style="thin">
          <color auto="1"/>
        </top>
        <bottom style="thin">
          <color auto="1"/>
        </bottom>
        <vertical/>
        <horizontal/>
      </border>
    </dxf>
    <dxf>
      <fill>
        <patternFill>
          <bgColor rgb="FFEFB011"/>
        </patternFill>
      </fill>
      <border>
        <left style="thin">
          <color auto="1"/>
        </left>
        <right style="thin">
          <color auto="1"/>
        </right>
        <top style="thin">
          <color auto="1"/>
        </top>
        <bottom style="thin">
          <color auto="1"/>
        </bottom>
        <vertical/>
        <horizontal/>
      </border>
    </dxf>
    <dxf>
      <fill>
        <patternFill>
          <bgColor rgb="FFEFB011"/>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FF00"/>
      <color rgb="FFD89E0E"/>
      <color rgb="FFEFB011"/>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152400</xdr:colOff>
      <xdr:row>1</xdr:row>
      <xdr:rowOff>90487</xdr:rowOff>
    </xdr:from>
    <xdr:to>
      <xdr:col>13</xdr:col>
      <xdr:colOff>612872</xdr:colOff>
      <xdr:row>2</xdr:row>
      <xdr:rowOff>79548</xdr:rowOff>
    </xdr:to>
    <xdr:pic>
      <xdr:nvPicPr>
        <xdr:cNvPr id="2" name="Picture 1"/>
        <xdr:cNvPicPr>
          <a:picLocks noChangeAspect="1"/>
        </xdr:cNvPicPr>
      </xdr:nvPicPr>
      <xdr:blipFill>
        <a:blip xmlns:r="http://schemas.openxmlformats.org/officeDocument/2006/relationships" r:embed="rId1"/>
        <a:stretch>
          <a:fillRect/>
        </a:stretch>
      </xdr:blipFill>
      <xdr:spPr>
        <a:xfrm>
          <a:off x="8905875" y="247650"/>
          <a:ext cx="2184497" cy="5319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295275</xdr:colOff>
      <xdr:row>1</xdr:row>
      <xdr:rowOff>0</xdr:rowOff>
    </xdr:from>
    <xdr:to>
      <xdr:col>13</xdr:col>
      <xdr:colOff>755747</xdr:colOff>
      <xdr:row>2</xdr:row>
      <xdr:rowOff>36686</xdr:rowOff>
    </xdr:to>
    <xdr:pic>
      <xdr:nvPicPr>
        <xdr:cNvPr id="2" name="Picture 1"/>
        <xdr:cNvPicPr>
          <a:picLocks noChangeAspect="1"/>
        </xdr:cNvPicPr>
      </xdr:nvPicPr>
      <xdr:blipFill>
        <a:blip xmlns:r="http://schemas.openxmlformats.org/officeDocument/2006/relationships" r:embed="rId1"/>
        <a:stretch>
          <a:fillRect/>
        </a:stretch>
      </xdr:blipFill>
      <xdr:spPr>
        <a:xfrm>
          <a:off x="9048750" y="157163"/>
          <a:ext cx="2184497" cy="5319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1058334</xdr:colOff>
      <xdr:row>1</xdr:row>
      <xdr:rowOff>11641</xdr:rowOff>
    </xdr:from>
    <xdr:to>
      <xdr:col>9</xdr:col>
      <xdr:colOff>3138055</xdr:colOff>
      <xdr:row>2</xdr:row>
      <xdr:rowOff>702</xdr:rowOff>
    </xdr:to>
    <xdr:pic>
      <xdr:nvPicPr>
        <xdr:cNvPr id="2" name="Picture 1"/>
        <xdr:cNvPicPr>
          <a:picLocks noChangeAspect="1"/>
        </xdr:cNvPicPr>
      </xdr:nvPicPr>
      <xdr:blipFill>
        <a:blip xmlns:r="http://schemas.openxmlformats.org/officeDocument/2006/relationships" r:embed="rId1"/>
        <a:stretch>
          <a:fillRect/>
        </a:stretch>
      </xdr:blipFill>
      <xdr:spPr>
        <a:xfrm>
          <a:off x="10221384" y="173566"/>
          <a:ext cx="2079721" cy="5367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1058334</xdr:colOff>
      <xdr:row>1</xdr:row>
      <xdr:rowOff>11641</xdr:rowOff>
    </xdr:from>
    <xdr:to>
      <xdr:col>9</xdr:col>
      <xdr:colOff>3138055</xdr:colOff>
      <xdr:row>2</xdr:row>
      <xdr:rowOff>975</xdr:rowOff>
    </xdr:to>
    <xdr:pic>
      <xdr:nvPicPr>
        <xdr:cNvPr id="2" name="Picture 1"/>
        <xdr:cNvPicPr>
          <a:picLocks noChangeAspect="1"/>
        </xdr:cNvPicPr>
      </xdr:nvPicPr>
      <xdr:blipFill>
        <a:blip xmlns:r="http://schemas.openxmlformats.org/officeDocument/2006/relationships" r:embed="rId1"/>
        <a:stretch>
          <a:fillRect/>
        </a:stretch>
      </xdr:blipFill>
      <xdr:spPr>
        <a:xfrm>
          <a:off x="10097559" y="173566"/>
          <a:ext cx="2079721" cy="5367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1058334</xdr:colOff>
      <xdr:row>1</xdr:row>
      <xdr:rowOff>11641</xdr:rowOff>
    </xdr:from>
    <xdr:to>
      <xdr:col>9</xdr:col>
      <xdr:colOff>3138055</xdr:colOff>
      <xdr:row>2</xdr:row>
      <xdr:rowOff>975</xdr:rowOff>
    </xdr:to>
    <xdr:pic>
      <xdr:nvPicPr>
        <xdr:cNvPr id="2" name="Picture 1"/>
        <xdr:cNvPicPr>
          <a:picLocks noChangeAspect="1"/>
        </xdr:cNvPicPr>
      </xdr:nvPicPr>
      <xdr:blipFill>
        <a:blip xmlns:r="http://schemas.openxmlformats.org/officeDocument/2006/relationships" r:embed="rId1"/>
        <a:stretch>
          <a:fillRect/>
        </a:stretch>
      </xdr:blipFill>
      <xdr:spPr>
        <a:xfrm>
          <a:off x="9335559" y="173566"/>
          <a:ext cx="2079721" cy="53674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1058334</xdr:colOff>
      <xdr:row>1</xdr:row>
      <xdr:rowOff>11641</xdr:rowOff>
    </xdr:from>
    <xdr:to>
      <xdr:col>9</xdr:col>
      <xdr:colOff>3138055</xdr:colOff>
      <xdr:row>2</xdr:row>
      <xdr:rowOff>975</xdr:rowOff>
    </xdr:to>
    <xdr:pic>
      <xdr:nvPicPr>
        <xdr:cNvPr id="2" name="Picture 1"/>
        <xdr:cNvPicPr>
          <a:picLocks noChangeAspect="1"/>
        </xdr:cNvPicPr>
      </xdr:nvPicPr>
      <xdr:blipFill>
        <a:blip xmlns:r="http://schemas.openxmlformats.org/officeDocument/2006/relationships" r:embed="rId1"/>
        <a:stretch>
          <a:fillRect/>
        </a:stretch>
      </xdr:blipFill>
      <xdr:spPr>
        <a:xfrm>
          <a:off x="9716559" y="173566"/>
          <a:ext cx="2079721" cy="53674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1058334</xdr:colOff>
      <xdr:row>1</xdr:row>
      <xdr:rowOff>11641</xdr:rowOff>
    </xdr:from>
    <xdr:to>
      <xdr:col>9</xdr:col>
      <xdr:colOff>3138055</xdr:colOff>
      <xdr:row>2</xdr:row>
      <xdr:rowOff>975</xdr:rowOff>
    </xdr:to>
    <xdr:pic>
      <xdr:nvPicPr>
        <xdr:cNvPr id="2" name="Picture 1"/>
        <xdr:cNvPicPr>
          <a:picLocks noChangeAspect="1"/>
        </xdr:cNvPicPr>
      </xdr:nvPicPr>
      <xdr:blipFill>
        <a:blip xmlns:r="http://schemas.openxmlformats.org/officeDocument/2006/relationships" r:embed="rId1"/>
        <a:stretch>
          <a:fillRect/>
        </a:stretch>
      </xdr:blipFill>
      <xdr:spPr>
        <a:xfrm>
          <a:off x="9716559" y="173566"/>
          <a:ext cx="2079721" cy="53674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2092770</xdr:colOff>
      <xdr:row>1</xdr:row>
      <xdr:rowOff>1399</xdr:rowOff>
    </xdr:from>
    <xdr:to>
      <xdr:col>9</xdr:col>
      <xdr:colOff>4172491</xdr:colOff>
      <xdr:row>1</xdr:row>
      <xdr:rowOff>538147</xdr:rowOff>
    </xdr:to>
    <xdr:pic>
      <xdr:nvPicPr>
        <xdr:cNvPr id="2" name="Picture 1"/>
        <xdr:cNvPicPr>
          <a:picLocks noChangeAspect="1"/>
        </xdr:cNvPicPr>
      </xdr:nvPicPr>
      <xdr:blipFill>
        <a:blip xmlns:r="http://schemas.openxmlformats.org/officeDocument/2006/relationships" r:embed="rId1"/>
        <a:stretch>
          <a:fillRect/>
        </a:stretch>
      </xdr:blipFill>
      <xdr:spPr>
        <a:xfrm>
          <a:off x="10736964" y="165270"/>
          <a:ext cx="2079721" cy="5367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act-16/process-16-0/docs/16.00%20Activity%20management%20and%20development/16.00.08%20Teams/07.%20AHEE/01_Models/1_Model%20prep/ESDs_Excel/ESDs%20ECHA/01%20Published/PT9_Leather_v1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dex"/>
      <sheetName val="Releases from leather ind"/>
      <sheetName val="Pick-lists &amp; Defaults"/>
    </sheetNames>
    <sheetDataSet>
      <sheetData sheetId="0" refreshError="1"/>
      <sheetData sheetId="1" refreshError="1"/>
      <sheetData sheetId="2"/>
      <sheetData sheetId="3">
        <row r="6">
          <cell r="B6" t="str">
            <v>Select treatment step</v>
          </cell>
        </row>
        <row r="7">
          <cell r="B7" t="str">
            <v>Curing (salting)</v>
          </cell>
        </row>
        <row r="8">
          <cell r="B8" t="str">
            <v>Soaking</v>
          </cell>
        </row>
        <row r="9">
          <cell r="B9" t="str">
            <v>Pickling</v>
          </cell>
        </row>
        <row r="10">
          <cell r="B10" t="str">
            <v>Tanning</v>
          </cell>
        </row>
        <row r="11">
          <cell r="B11" t="str">
            <v>Finishing</v>
          </cell>
        </row>
        <row r="16">
          <cell r="B16" t="str">
            <v>Yes</v>
          </cell>
        </row>
        <row r="17">
          <cell r="B17" t="str">
            <v>No (calculate value below)</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tabSelected="1" workbookViewId="0"/>
  </sheetViews>
  <sheetFormatPr defaultColWidth="9" defaultRowHeight="12.75" x14ac:dyDescent="0.2"/>
  <cols>
    <col min="1" max="1" width="1.625" style="1" customWidth="1"/>
    <col min="2" max="2" width="10.625" style="1" customWidth="1"/>
    <col min="3" max="3" width="15.625" style="1" customWidth="1"/>
    <col min="4" max="19" width="10.625" style="1" customWidth="1"/>
    <col min="20" max="16384" width="9" style="1"/>
  </cols>
  <sheetData>
    <row r="1" spans="1:19" x14ac:dyDescent="0.2">
      <c r="A1" s="2"/>
      <c r="B1" s="2"/>
      <c r="C1" s="2"/>
      <c r="D1" s="2"/>
      <c r="E1" s="2"/>
      <c r="F1" s="2"/>
      <c r="G1" s="2"/>
      <c r="H1" s="2"/>
      <c r="I1" s="3"/>
      <c r="J1" s="2"/>
      <c r="K1" s="2"/>
      <c r="L1" s="2"/>
      <c r="M1" s="2"/>
      <c r="N1" s="2"/>
      <c r="O1" s="2"/>
      <c r="P1" s="2"/>
      <c r="Q1" s="2"/>
      <c r="R1" s="2"/>
    </row>
    <row r="2" spans="1:19" ht="42.75" customHeight="1" x14ac:dyDescent="0.25">
      <c r="A2" s="2"/>
      <c r="B2" s="420" t="s">
        <v>23</v>
      </c>
      <c r="C2" s="420"/>
      <c r="D2" s="420"/>
      <c r="E2" s="420"/>
      <c r="F2" s="420"/>
      <c r="G2" s="420"/>
      <c r="H2" s="420"/>
      <c r="I2" s="420"/>
      <c r="J2" s="420"/>
      <c r="K2" s="420"/>
      <c r="L2" s="420"/>
      <c r="M2" s="361"/>
      <c r="N2" s="20"/>
      <c r="O2" s="2"/>
      <c r="P2" s="2"/>
      <c r="Q2" s="2"/>
      <c r="R2" s="2"/>
    </row>
    <row r="3" spans="1:19" x14ac:dyDescent="0.2">
      <c r="A3" s="2"/>
      <c r="B3" s="2"/>
      <c r="C3" s="2"/>
      <c r="D3" s="2"/>
      <c r="E3" s="2"/>
      <c r="F3" s="2"/>
      <c r="G3" s="2"/>
      <c r="H3" s="2"/>
      <c r="I3" s="3"/>
      <c r="J3" s="2"/>
      <c r="K3" s="2"/>
      <c r="L3" s="2"/>
      <c r="M3" s="2"/>
      <c r="N3" s="2"/>
      <c r="O3" s="2"/>
      <c r="P3" s="2"/>
      <c r="Q3" s="2"/>
      <c r="R3" s="2"/>
    </row>
    <row r="4" spans="1:19" ht="96" customHeight="1" x14ac:dyDescent="0.2">
      <c r="B4" s="421" t="s">
        <v>611</v>
      </c>
      <c r="C4" s="421"/>
      <c r="D4" s="421"/>
      <c r="E4" s="421"/>
      <c r="F4" s="421"/>
      <c r="G4" s="421"/>
      <c r="H4" s="421"/>
      <c r="I4" s="421"/>
      <c r="J4" s="421"/>
      <c r="K4" s="421"/>
      <c r="L4" s="421"/>
      <c r="M4" s="421"/>
      <c r="N4" s="421"/>
      <c r="O4" s="366"/>
      <c r="P4" s="366"/>
      <c r="Q4" s="16"/>
      <c r="R4" s="16"/>
      <c r="S4" s="16"/>
    </row>
    <row r="7" spans="1:19" ht="14.25" x14ac:dyDescent="0.2">
      <c r="B7" s="17" t="s">
        <v>14</v>
      </c>
      <c r="C7" s="18"/>
      <c r="D7" s="18"/>
      <c r="E7" s="4"/>
      <c r="F7" s="4"/>
      <c r="G7" s="4"/>
      <c r="H7" s="4"/>
      <c r="I7" s="4"/>
      <c r="J7" s="4"/>
      <c r="K7" s="4"/>
      <c r="L7" s="4"/>
      <c r="M7" s="4"/>
      <c r="N7" s="4"/>
      <c r="O7" s="4"/>
      <c r="P7" s="4"/>
    </row>
    <row r="8" spans="1:19" ht="14.25" x14ac:dyDescent="0.2">
      <c r="B8" s="19" t="s">
        <v>838</v>
      </c>
      <c r="C8" s="18"/>
      <c r="D8" s="18"/>
      <c r="E8" s="4"/>
      <c r="F8" s="4"/>
      <c r="G8" s="4"/>
      <c r="H8" s="4"/>
      <c r="I8" s="4"/>
      <c r="J8" s="4"/>
      <c r="K8" s="4"/>
      <c r="L8" s="4"/>
      <c r="M8" s="4"/>
      <c r="N8" s="4"/>
      <c r="O8" s="4"/>
      <c r="P8" s="4"/>
    </row>
    <row r="9" spans="1:19" ht="14.25" x14ac:dyDescent="0.2">
      <c r="B9" s="48" t="s">
        <v>610</v>
      </c>
      <c r="C9" s="18"/>
      <c r="D9" s="18"/>
      <c r="E9" s="4"/>
      <c r="F9" s="4"/>
      <c r="G9" s="4"/>
      <c r="H9" s="4"/>
      <c r="I9" s="4"/>
      <c r="J9" s="4"/>
      <c r="K9" s="4"/>
      <c r="L9" s="4"/>
      <c r="M9" s="4"/>
      <c r="N9" s="4"/>
      <c r="O9" s="4"/>
      <c r="P9" s="4"/>
    </row>
    <row r="10" spans="1:19" ht="14.25" x14ac:dyDescent="0.2">
      <c r="B10" s="9"/>
      <c r="C10" s="9"/>
      <c r="D10" s="9"/>
    </row>
    <row r="11" spans="1:19" ht="14.25" x14ac:dyDescent="0.2">
      <c r="B11" s="9"/>
      <c r="C11" s="9"/>
      <c r="D11" s="9"/>
    </row>
    <row r="12" spans="1:19" ht="14.25" x14ac:dyDescent="0.2">
      <c r="B12" s="10" t="s">
        <v>12</v>
      </c>
      <c r="C12" s="9"/>
      <c r="D12" s="9"/>
    </row>
    <row r="13" spans="1:19" ht="14.25" x14ac:dyDescent="0.2">
      <c r="B13" s="9"/>
      <c r="C13" s="9"/>
      <c r="D13" s="9"/>
    </row>
    <row r="14" spans="1:19" ht="14.25" x14ac:dyDescent="0.2">
      <c r="B14" s="9" t="s">
        <v>13</v>
      </c>
      <c r="C14" s="419">
        <v>43791</v>
      </c>
      <c r="D14" s="9"/>
      <c r="E14" s="365"/>
    </row>
    <row r="15" spans="1:19" x14ac:dyDescent="0.2">
      <c r="C15" s="7"/>
    </row>
    <row r="16" spans="1:19" x14ac:dyDescent="0.2">
      <c r="C16" s="7"/>
      <c r="D16" s="8"/>
    </row>
    <row r="17" spans="2:4" x14ac:dyDescent="0.2">
      <c r="C17" s="7"/>
    </row>
    <row r="18" spans="2:4" x14ac:dyDescent="0.2">
      <c r="B18" s="11"/>
      <c r="C18" s="7"/>
      <c r="D18" s="8"/>
    </row>
    <row r="20" spans="2:4" x14ac:dyDescent="0.2">
      <c r="C20" s="7"/>
    </row>
    <row r="21" spans="2:4" x14ac:dyDescent="0.2">
      <c r="C21" s="7"/>
    </row>
    <row r="22" spans="2:4" x14ac:dyDescent="0.2">
      <c r="C22" s="7"/>
    </row>
  </sheetData>
  <sheetProtection formatCells="0" formatColumns="0" formatRows="0"/>
  <mergeCells count="2">
    <mergeCell ref="B2:L2"/>
    <mergeCell ref="B4:N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6"/>
  <sheetViews>
    <sheetView workbookViewId="0"/>
  </sheetViews>
  <sheetFormatPr defaultColWidth="9" defaultRowHeight="12.75" x14ac:dyDescent="0.2"/>
  <cols>
    <col min="1" max="1" width="1.625" style="2" customWidth="1"/>
    <col min="2" max="16" width="10.625" style="2" customWidth="1"/>
    <col min="17" max="16384" width="9" style="2"/>
  </cols>
  <sheetData>
    <row r="2" spans="2:16" ht="39" customHeight="1" x14ac:dyDescent="0.2">
      <c r="B2" s="420" t="s">
        <v>23</v>
      </c>
      <c r="C2" s="420"/>
      <c r="D2" s="420"/>
      <c r="E2" s="420"/>
      <c r="F2" s="420"/>
      <c r="G2" s="420"/>
      <c r="H2" s="420"/>
      <c r="I2" s="420"/>
      <c r="J2" s="420"/>
      <c r="K2" s="420"/>
      <c r="L2" s="420"/>
      <c r="M2" s="361"/>
    </row>
    <row r="4" spans="2:16" ht="18" x14ac:dyDescent="0.2">
      <c r="B4" s="12" t="s">
        <v>11</v>
      </c>
      <c r="C4" s="5"/>
      <c r="D4" s="5"/>
      <c r="E4" s="5"/>
      <c r="F4" s="5"/>
      <c r="G4" s="5"/>
      <c r="H4" s="5"/>
      <c r="I4" s="5"/>
      <c r="J4" s="5"/>
      <c r="K4" s="5"/>
      <c r="L4" s="5"/>
      <c r="M4" s="5"/>
      <c r="N4" s="5"/>
      <c r="O4" s="6"/>
      <c r="P4" s="6"/>
    </row>
    <row r="5" spans="2:16" ht="15" x14ac:dyDescent="0.2">
      <c r="B5" s="363"/>
      <c r="C5" s="363"/>
      <c r="D5" s="363"/>
      <c r="E5" s="363"/>
      <c r="F5" s="363"/>
      <c r="G5" s="363"/>
      <c r="H5" s="363"/>
      <c r="I5" s="363"/>
      <c r="J5" s="363"/>
      <c r="K5" s="363"/>
      <c r="L5" s="363"/>
      <c r="M5" s="363"/>
      <c r="N5" s="363"/>
      <c r="O5" s="6"/>
      <c r="P5" s="6"/>
    </row>
    <row r="6" spans="2:16" ht="14.25" x14ac:dyDescent="0.2">
      <c r="B6" s="423" t="s">
        <v>638</v>
      </c>
      <c r="C6" s="423"/>
      <c r="D6" s="423"/>
      <c r="E6" s="423"/>
      <c r="F6" s="423"/>
      <c r="G6" s="423"/>
      <c r="H6" s="423"/>
      <c r="I6" s="423"/>
      <c r="J6" s="423"/>
      <c r="K6" s="423"/>
      <c r="L6" s="423"/>
      <c r="M6" s="423"/>
      <c r="N6" s="423"/>
      <c r="O6" s="362"/>
      <c r="P6" s="362"/>
    </row>
    <row r="7" spans="2:16" ht="14.25" x14ac:dyDescent="0.2">
      <c r="B7" s="364"/>
      <c r="C7" s="364"/>
      <c r="D7" s="364"/>
      <c r="E7" s="364"/>
      <c r="F7" s="364"/>
      <c r="G7" s="364"/>
      <c r="H7" s="364"/>
      <c r="I7" s="364"/>
      <c r="J7" s="364"/>
      <c r="K7" s="364"/>
      <c r="L7" s="364"/>
      <c r="M7" s="364"/>
      <c r="N7" s="364"/>
    </row>
    <row r="8" spans="2:16" ht="14.25" x14ac:dyDescent="0.2">
      <c r="B8" s="423" t="s">
        <v>639</v>
      </c>
      <c r="C8" s="423"/>
      <c r="D8" s="423"/>
      <c r="E8" s="423"/>
      <c r="F8" s="423"/>
      <c r="G8" s="423"/>
      <c r="H8" s="423"/>
      <c r="I8" s="423"/>
      <c r="J8" s="423"/>
      <c r="K8" s="423"/>
      <c r="L8" s="423"/>
      <c r="M8" s="423"/>
      <c r="N8" s="423"/>
      <c r="O8" s="424"/>
      <c r="P8" s="424"/>
    </row>
    <row r="9" spans="2:16" ht="14.25" x14ac:dyDescent="0.2">
      <c r="B9" s="364"/>
      <c r="C9" s="364"/>
      <c r="D9" s="364"/>
      <c r="E9" s="364"/>
      <c r="F9" s="364"/>
      <c r="G9" s="364"/>
      <c r="H9" s="364"/>
      <c r="I9" s="364"/>
      <c r="J9" s="364"/>
      <c r="K9" s="364"/>
      <c r="L9" s="364"/>
      <c r="M9" s="364"/>
      <c r="N9" s="364"/>
    </row>
    <row r="10" spans="2:16" ht="14.25" x14ac:dyDescent="0.2">
      <c r="B10" s="423" t="s">
        <v>640</v>
      </c>
      <c r="C10" s="423"/>
      <c r="D10" s="423"/>
      <c r="E10" s="423"/>
      <c r="F10" s="423"/>
      <c r="G10" s="423"/>
      <c r="H10" s="423"/>
      <c r="I10" s="423"/>
      <c r="J10" s="423"/>
      <c r="K10" s="423"/>
      <c r="L10" s="423"/>
      <c r="M10" s="423"/>
      <c r="N10" s="423"/>
      <c r="O10" s="424"/>
      <c r="P10" s="424"/>
    </row>
    <row r="11" spans="2:16" ht="14.25" x14ac:dyDescent="0.2">
      <c r="B11" s="364"/>
      <c r="C11" s="364"/>
      <c r="D11" s="364"/>
      <c r="E11" s="364"/>
      <c r="F11" s="364"/>
      <c r="G11" s="364"/>
      <c r="H11" s="364"/>
      <c r="I11" s="364"/>
      <c r="J11" s="364"/>
      <c r="K11" s="364"/>
      <c r="L11" s="364"/>
      <c r="M11" s="364"/>
      <c r="N11" s="364"/>
    </row>
    <row r="12" spans="2:16" ht="14.25" x14ac:dyDescent="0.2">
      <c r="B12" s="423" t="s">
        <v>641</v>
      </c>
      <c r="C12" s="423"/>
      <c r="D12" s="423"/>
      <c r="E12" s="423"/>
      <c r="F12" s="423"/>
      <c r="G12" s="423"/>
      <c r="H12" s="423"/>
      <c r="I12" s="423"/>
      <c r="J12" s="423"/>
      <c r="K12" s="423"/>
      <c r="L12" s="423"/>
      <c r="M12" s="423"/>
      <c r="N12" s="423"/>
    </row>
    <row r="13" spans="2:16" ht="14.25" x14ac:dyDescent="0.2">
      <c r="B13" s="364"/>
      <c r="C13" s="364"/>
      <c r="D13" s="364"/>
      <c r="E13" s="364"/>
      <c r="F13" s="364"/>
      <c r="G13" s="364"/>
      <c r="H13" s="364"/>
      <c r="I13" s="364"/>
      <c r="J13" s="364"/>
      <c r="K13" s="364"/>
      <c r="L13" s="364"/>
      <c r="M13" s="364"/>
      <c r="N13" s="364"/>
    </row>
    <row r="14" spans="2:16" ht="14.25" x14ac:dyDescent="0.2">
      <c r="B14" s="422" t="s">
        <v>642</v>
      </c>
      <c r="C14" s="422"/>
      <c r="D14" s="422"/>
      <c r="E14" s="422"/>
      <c r="F14" s="422"/>
      <c r="G14" s="422"/>
      <c r="H14" s="422"/>
      <c r="I14" s="422"/>
      <c r="J14" s="422"/>
      <c r="K14" s="422"/>
      <c r="L14" s="422"/>
      <c r="M14" s="422"/>
      <c r="N14" s="422"/>
    </row>
    <row r="15" spans="2:16" ht="14.25" x14ac:dyDescent="0.2">
      <c r="B15" s="364"/>
      <c r="C15" s="364"/>
      <c r="D15" s="364"/>
      <c r="E15" s="364"/>
      <c r="F15" s="364"/>
      <c r="G15" s="364"/>
      <c r="H15" s="364"/>
      <c r="I15" s="364"/>
      <c r="J15" s="364"/>
      <c r="K15" s="364"/>
      <c r="L15" s="364"/>
      <c r="M15" s="364"/>
      <c r="N15" s="364"/>
    </row>
    <row r="16" spans="2:16" ht="14.25" x14ac:dyDescent="0.2">
      <c r="B16" s="422" t="s">
        <v>645</v>
      </c>
      <c r="C16" s="422"/>
      <c r="D16" s="422"/>
      <c r="E16" s="422"/>
      <c r="F16" s="422"/>
      <c r="G16" s="422"/>
      <c r="H16" s="422"/>
      <c r="I16" s="422"/>
      <c r="J16" s="422"/>
      <c r="K16" s="422"/>
      <c r="L16" s="422"/>
      <c r="M16" s="422"/>
      <c r="N16" s="422"/>
    </row>
  </sheetData>
  <sheetProtection formatCells="0" formatColumns="0" formatRows="0"/>
  <mergeCells count="9">
    <mergeCell ref="B16:N16"/>
    <mergeCell ref="B2:L2"/>
    <mergeCell ref="B6:N6"/>
    <mergeCell ref="B8:N8"/>
    <mergeCell ref="O8:P8"/>
    <mergeCell ref="B10:N10"/>
    <mergeCell ref="O10:P10"/>
    <mergeCell ref="B12:N12"/>
    <mergeCell ref="B14:N14"/>
  </mergeCells>
  <hyperlinks>
    <hyperlink ref="B8:P8" location="'PT6-paints&amp;coatings'!A1" display="Emission scenario for calculating the releases from the use of biocidal products as in-can preservatives in the production of paints and coatings (ESD § 3.2)"/>
    <hyperlink ref="B10:N10" location="'PT6-paper'!A1" display="Emission scenario for the use of biocidal products as in-can preservatives used in paper production (ESD § 3.3.1)"/>
    <hyperlink ref="B12:N12" location="'PT6-textile'!A1" display="Emission scenario for the use of biocidal products as in-can preservatives used in textile production (ESD § 3.3.2)"/>
    <hyperlink ref="B14:N14" location="'PT6-leather'!A1" display="Emission scenario for the use of biocidal products as in-can preservatives used in leather production (ESD § 3.3.3)"/>
    <hyperlink ref="B16:N16" location="'PT6-fuels'!A1" display="Emission scenario for the use of biocidal products as in-can preservatives in storage of fuels  (ESD § 3.5)"/>
    <hyperlink ref="B6:N6" location="'PT6-detergents &amp; clean. fluids'!A1" display="Emission scenario for the use of biocidal products as in-can preservatives of detergents and cleaning fluids (ESD § 3.1)"/>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647"/>
  <sheetViews>
    <sheetView zoomScale="80" zoomScaleNormal="80" workbookViewId="0"/>
  </sheetViews>
  <sheetFormatPr defaultColWidth="8.75" defaultRowHeight="12.75" x14ac:dyDescent="0.2"/>
  <cols>
    <col min="1" max="1" width="1.625" style="24" customWidth="1"/>
    <col min="2" max="2" width="25.625" style="25" customWidth="1"/>
    <col min="3" max="3" width="30.625" style="25" customWidth="1"/>
    <col min="4" max="4" width="1.625" style="25" customWidth="1"/>
    <col min="5" max="5" width="15.625" style="25" customWidth="1"/>
    <col min="6" max="6" width="1.625" style="24" customWidth="1"/>
    <col min="7" max="7" width="20.625" style="25" customWidth="1"/>
    <col min="8" max="9" width="10.625" style="25" customWidth="1"/>
    <col min="10" max="10" width="45.625" style="61" customWidth="1"/>
    <col min="11" max="16" width="8.75" style="25"/>
    <col min="17" max="18" width="8.75" style="24"/>
    <col min="19" max="19" width="37.25" style="24" customWidth="1"/>
    <col min="20" max="65" width="8.75" style="24"/>
    <col min="66" max="16384" width="8.75" style="25"/>
  </cols>
  <sheetData>
    <row r="1" spans="1:101" x14ac:dyDescent="0.2">
      <c r="B1" s="24"/>
      <c r="C1" s="24"/>
      <c r="D1" s="24"/>
      <c r="E1" s="24"/>
      <c r="G1" s="24"/>
      <c r="H1" s="24"/>
      <c r="I1" s="24"/>
      <c r="J1" s="60"/>
      <c r="K1" s="24"/>
      <c r="L1" s="24"/>
      <c r="M1" s="24"/>
      <c r="N1" s="24"/>
      <c r="O1" s="24"/>
      <c r="P1" s="24"/>
    </row>
    <row r="2" spans="1:101" ht="43.5" customHeight="1" x14ac:dyDescent="0.2">
      <c r="B2" s="442" t="s">
        <v>23</v>
      </c>
      <c r="C2" s="442"/>
      <c r="D2" s="442"/>
      <c r="E2" s="442"/>
      <c r="F2" s="442"/>
      <c r="G2" s="442"/>
      <c r="H2" s="442"/>
      <c r="I2" s="442"/>
      <c r="J2" s="60"/>
      <c r="K2" s="24"/>
      <c r="L2" s="24"/>
      <c r="M2" s="24"/>
      <c r="N2" s="24"/>
      <c r="O2" s="24"/>
      <c r="P2" s="24"/>
    </row>
    <row r="3" spans="1:101" x14ac:dyDescent="0.2">
      <c r="B3" s="24"/>
      <c r="C3" s="24"/>
      <c r="D3" s="24"/>
      <c r="E3" s="24"/>
      <c r="G3" s="24"/>
      <c r="H3" s="24"/>
      <c r="I3" s="24"/>
      <c r="J3" s="60"/>
      <c r="K3" s="24"/>
      <c r="L3" s="24"/>
      <c r="M3" s="24"/>
      <c r="N3" s="24"/>
      <c r="O3" s="24"/>
      <c r="P3" s="24"/>
    </row>
    <row r="4" spans="1:101" ht="18" x14ac:dyDescent="0.2">
      <c r="B4" s="443" t="s">
        <v>638</v>
      </c>
      <c r="C4" s="443"/>
      <c r="D4" s="443"/>
      <c r="E4" s="443"/>
      <c r="F4" s="443"/>
      <c r="G4" s="443"/>
      <c r="H4" s="443"/>
      <c r="I4" s="443"/>
      <c r="J4" s="443"/>
      <c r="K4" s="24"/>
      <c r="L4" s="24"/>
      <c r="M4" s="24"/>
      <c r="N4" s="24"/>
      <c r="O4" s="24"/>
      <c r="P4" s="24"/>
    </row>
    <row r="5" spans="1:101" s="24" customFormat="1" ht="15.75" thickBot="1" x14ac:dyDescent="0.25">
      <c r="A5" s="22"/>
      <c r="B5" s="21"/>
      <c r="C5" s="21"/>
      <c r="D5" s="21"/>
      <c r="E5" s="21"/>
      <c r="F5" s="21"/>
      <c r="G5" s="21"/>
      <c r="H5" s="21"/>
      <c r="I5" s="21"/>
      <c r="J5" s="21"/>
      <c r="K5" s="21"/>
      <c r="L5" s="21"/>
      <c r="M5" s="21"/>
      <c r="N5" s="22"/>
      <c r="O5" s="22"/>
      <c r="P5" s="22"/>
      <c r="Q5" s="22"/>
    </row>
    <row r="6" spans="1:101" ht="13.5" customHeight="1" x14ac:dyDescent="0.2">
      <c r="A6" s="22"/>
      <c r="B6" s="450" t="s">
        <v>24</v>
      </c>
      <c r="C6" s="451"/>
      <c r="D6" s="451"/>
      <c r="E6" s="451"/>
      <c r="F6" s="451"/>
      <c r="G6" s="451"/>
      <c r="H6" s="451"/>
      <c r="I6" s="451"/>
      <c r="J6" s="452"/>
      <c r="K6" s="34"/>
      <c r="L6" s="22"/>
      <c r="M6" s="22"/>
      <c r="N6" s="24"/>
      <c r="O6" s="24"/>
      <c r="P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row>
    <row r="7" spans="1:101" s="122" customFormat="1" ht="13.5" customHeight="1" x14ac:dyDescent="0.2">
      <c r="A7" s="119"/>
      <c r="B7" s="164"/>
      <c r="C7" s="165"/>
      <c r="D7" s="165"/>
      <c r="E7" s="165"/>
      <c r="F7" s="165"/>
      <c r="G7" s="165"/>
      <c r="H7" s="165"/>
      <c r="I7" s="165"/>
      <c r="J7" s="166"/>
      <c r="K7" s="153"/>
      <c r="L7" s="119"/>
      <c r="M7" s="119"/>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row>
    <row r="8" spans="1:101" s="122" customFormat="1" ht="14.25" x14ac:dyDescent="0.2">
      <c r="A8" s="119"/>
      <c r="B8" s="164" t="s">
        <v>391</v>
      </c>
      <c r="C8" s="165"/>
      <c r="D8" s="165"/>
      <c r="E8" s="165"/>
      <c r="F8" s="165"/>
      <c r="G8" s="165"/>
      <c r="H8" s="165"/>
      <c r="I8" s="165"/>
      <c r="J8" s="166"/>
      <c r="K8" s="153"/>
      <c r="L8" s="119"/>
      <c r="M8" s="119"/>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row>
    <row r="9" spans="1:101" s="122" customFormat="1" ht="13.5" customHeight="1" x14ac:dyDescent="0.2">
      <c r="A9" s="119"/>
      <c r="B9" s="456" t="s">
        <v>356</v>
      </c>
      <c r="C9" s="457"/>
      <c r="D9" s="457"/>
      <c r="E9" s="457"/>
      <c r="F9" s="457"/>
      <c r="G9" s="457"/>
      <c r="H9" s="457"/>
      <c r="I9" s="457"/>
      <c r="J9" s="458"/>
      <c r="K9" s="153"/>
      <c r="L9" s="119"/>
      <c r="M9" s="119"/>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121"/>
      <c r="CO9" s="121"/>
      <c r="CP9" s="121"/>
      <c r="CQ9" s="121"/>
      <c r="CR9" s="121"/>
      <c r="CS9" s="121"/>
      <c r="CT9" s="121"/>
      <c r="CU9" s="121"/>
      <c r="CV9" s="121"/>
      <c r="CW9" s="121"/>
    </row>
    <row r="10" spans="1:101" s="122" customFormat="1" ht="13.5" customHeight="1" x14ac:dyDescent="0.2">
      <c r="A10" s="119"/>
      <c r="B10" s="164"/>
      <c r="C10" s="165"/>
      <c r="D10" s="165"/>
      <c r="E10" s="165"/>
      <c r="F10" s="165"/>
      <c r="G10" s="165"/>
      <c r="H10" s="165"/>
      <c r="I10" s="165"/>
      <c r="J10" s="166"/>
      <c r="K10" s="153"/>
      <c r="L10" s="119"/>
      <c r="M10" s="119"/>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1"/>
      <c r="CN10" s="121"/>
      <c r="CO10" s="121"/>
      <c r="CP10" s="121"/>
      <c r="CQ10" s="121"/>
      <c r="CR10" s="121"/>
      <c r="CS10" s="121"/>
      <c r="CT10" s="121"/>
      <c r="CU10" s="121"/>
      <c r="CV10" s="121"/>
      <c r="CW10" s="121"/>
    </row>
    <row r="11" spans="1:101" s="122" customFormat="1" ht="14.25" x14ac:dyDescent="0.2">
      <c r="A11" s="119"/>
      <c r="B11" s="164" t="s">
        <v>381</v>
      </c>
      <c r="C11" s="165"/>
      <c r="D11" s="165"/>
      <c r="E11" s="165"/>
      <c r="F11" s="165"/>
      <c r="G11" s="165"/>
      <c r="H11" s="165"/>
      <c r="I11" s="165"/>
      <c r="J11" s="166"/>
      <c r="K11" s="153"/>
      <c r="L11" s="119"/>
      <c r="M11" s="119"/>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row>
    <row r="12" spans="1:101" s="55" customFormat="1" ht="14.25" x14ac:dyDescent="0.2">
      <c r="A12" s="26"/>
      <c r="B12" s="154" t="s">
        <v>382</v>
      </c>
      <c r="C12" s="150"/>
      <c r="D12" s="150"/>
      <c r="E12" s="150"/>
      <c r="F12" s="150"/>
      <c r="G12" s="150"/>
      <c r="H12" s="150"/>
      <c r="I12" s="152"/>
      <c r="J12" s="94"/>
      <c r="K12" s="26"/>
      <c r="L12" s="26"/>
      <c r="M12" s="26"/>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row>
    <row r="13" spans="1:101" ht="35.25" customHeight="1" x14ac:dyDescent="0.2">
      <c r="A13" s="22"/>
      <c r="B13" s="439" t="s">
        <v>646</v>
      </c>
      <c r="C13" s="440"/>
      <c r="D13" s="440"/>
      <c r="E13" s="440"/>
      <c r="F13" s="440"/>
      <c r="G13" s="440"/>
      <c r="H13" s="440"/>
      <c r="I13" s="440"/>
      <c r="J13" s="441"/>
      <c r="K13" s="22"/>
      <c r="L13" s="22"/>
      <c r="M13" s="22"/>
      <c r="N13" s="24"/>
      <c r="O13" s="24"/>
      <c r="P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row>
    <row r="14" spans="1:101" s="122" customFormat="1" ht="35.25" customHeight="1" x14ac:dyDescent="0.2">
      <c r="A14" s="119"/>
      <c r="B14" s="439" t="s">
        <v>647</v>
      </c>
      <c r="C14" s="440"/>
      <c r="D14" s="440"/>
      <c r="E14" s="440"/>
      <c r="F14" s="440"/>
      <c r="G14" s="440"/>
      <c r="H14" s="440"/>
      <c r="I14" s="440"/>
      <c r="J14" s="441"/>
      <c r="K14" s="119"/>
      <c r="L14" s="119"/>
      <c r="M14" s="119"/>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row>
    <row r="15" spans="1:101" ht="14.25" x14ac:dyDescent="0.2">
      <c r="A15" s="22"/>
      <c r="B15" s="453" t="s">
        <v>383</v>
      </c>
      <c r="C15" s="454"/>
      <c r="D15" s="454"/>
      <c r="E15" s="454"/>
      <c r="F15" s="454"/>
      <c r="G15" s="454"/>
      <c r="H15" s="454"/>
      <c r="I15" s="454"/>
      <c r="J15" s="455"/>
      <c r="K15" s="22"/>
      <c r="L15" s="22"/>
      <c r="M15" s="22"/>
      <c r="N15" s="24"/>
      <c r="O15" s="24"/>
      <c r="P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row>
    <row r="16" spans="1:101" s="122" customFormat="1" ht="14.25" x14ac:dyDescent="0.2">
      <c r="A16" s="119"/>
      <c r="B16" s="439" t="s">
        <v>650</v>
      </c>
      <c r="C16" s="440"/>
      <c r="D16" s="440"/>
      <c r="E16" s="440"/>
      <c r="F16" s="440"/>
      <c r="G16" s="440"/>
      <c r="H16" s="440"/>
      <c r="I16" s="440"/>
      <c r="J16" s="441"/>
      <c r="K16" s="119"/>
      <c r="L16" s="119"/>
      <c r="M16" s="119"/>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121"/>
      <c r="BS16" s="121"/>
      <c r="BT16" s="121"/>
      <c r="BU16" s="121"/>
      <c r="BV16" s="121"/>
      <c r="BW16" s="121"/>
      <c r="BX16" s="121"/>
      <c r="BY16" s="121"/>
      <c r="BZ16" s="121"/>
      <c r="CA16" s="121"/>
      <c r="CB16" s="121"/>
      <c r="CC16" s="121"/>
      <c r="CD16" s="121"/>
      <c r="CE16" s="121"/>
      <c r="CF16" s="121"/>
      <c r="CG16" s="121"/>
      <c r="CH16" s="121"/>
      <c r="CI16" s="121"/>
      <c r="CJ16" s="121"/>
      <c r="CK16" s="121"/>
      <c r="CL16" s="121"/>
      <c r="CM16" s="121"/>
      <c r="CN16" s="121"/>
      <c r="CO16" s="121"/>
      <c r="CP16" s="121"/>
      <c r="CQ16" s="121"/>
      <c r="CR16" s="121"/>
      <c r="CS16" s="121"/>
      <c r="CT16" s="121"/>
      <c r="CU16" s="121"/>
      <c r="CV16" s="121"/>
      <c r="CW16" s="121"/>
    </row>
    <row r="17" spans="1:101" s="122" customFormat="1" ht="14.25" x14ac:dyDescent="0.2">
      <c r="A17" s="119"/>
      <c r="B17" s="439" t="s">
        <v>131</v>
      </c>
      <c r="C17" s="440"/>
      <c r="D17" s="440"/>
      <c r="E17" s="440"/>
      <c r="F17" s="440"/>
      <c r="G17" s="440"/>
      <c r="H17" s="440"/>
      <c r="I17" s="440"/>
      <c r="J17" s="441"/>
      <c r="K17" s="119"/>
      <c r="L17" s="119"/>
      <c r="M17" s="119"/>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c r="BZ17" s="121"/>
      <c r="CA17" s="121"/>
      <c r="CB17" s="121"/>
      <c r="CC17" s="121"/>
      <c r="CD17" s="121"/>
      <c r="CE17" s="121"/>
      <c r="CF17" s="121"/>
      <c r="CG17" s="121"/>
      <c r="CH17" s="121"/>
      <c r="CI17" s="121"/>
      <c r="CJ17" s="121"/>
      <c r="CK17" s="121"/>
      <c r="CL17" s="121"/>
      <c r="CM17" s="121"/>
      <c r="CN17" s="121"/>
      <c r="CO17" s="121"/>
      <c r="CP17" s="121"/>
      <c r="CQ17" s="121"/>
      <c r="CR17" s="121"/>
      <c r="CS17" s="121"/>
      <c r="CT17" s="121"/>
      <c r="CU17" s="121"/>
      <c r="CV17" s="121"/>
      <c r="CW17" s="121"/>
    </row>
    <row r="18" spans="1:101" s="122" customFormat="1" x14ac:dyDescent="0.2">
      <c r="A18" s="119"/>
      <c r="B18" s="445" t="s">
        <v>561</v>
      </c>
      <c r="C18" s="446"/>
      <c r="D18" s="446"/>
      <c r="E18" s="446"/>
      <c r="F18" s="446"/>
      <c r="G18" s="446"/>
      <c r="H18" s="446"/>
      <c r="I18" s="446"/>
      <c r="J18" s="447"/>
      <c r="K18" s="119"/>
      <c r="L18" s="119"/>
      <c r="M18" s="119"/>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row>
    <row r="19" spans="1:101" s="122" customFormat="1" x14ac:dyDescent="0.2">
      <c r="A19" s="119"/>
      <c r="B19" s="445" t="s">
        <v>562</v>
      </c>
      <c r="C19" s="446"/>
      <c r="D19" s="446"/>
      <c r="E19" s="446"/>
      <c r="F19" s="446"/>
      <c r="G19" s="446"/>
      <c r="H19" s="446"/>
      <c r="I19" s="446"/>
      <c r="J19" s="447"/>
      <c r="K19" s="119"/>
      <c r="L19" s="119"/>
      <c r="M19" s="119"/>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row>
    <row r="20" spans="1:101" s="122" customFormat="1" ht="14.25" x14ac:dyDescent="0.2">
      <c r="A20" s="119"/>
      <c r="B20" s="439" t="s">
        <v>132</v>
      </c>
      <c r="C20" s="440"/>
      <c r="D20" s="440"/>
      <c r="E20" s="440"/>
      <c r="F20" s="440"/>
      <c r="G20" s="440"/>
      <c r="H20" s="440"/>
      <c r="I20" s="440"/>
      <c r="J20" s="441"/>
      <c r="K20" s="119"/>
      <c r="L20" s="119"/>
      <c r="M20" s="119"/>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row>
    <row r="21" spans="1:101" x14ac:dyDescent="0.2">
      <c r="A21" s="22"/>
      <c r="B21" s="445" t="s">
        <v>563</v>
      </c>
      <c r="C21" s="446"/>
      <c r="D21" s="446"/>
      <c r="E21" s="446"/>
      <c r="F21" s="446"/>
      <c r="G21" s="446"/>
      <c r="H21" s="446"/>
      <c r="I21" s="446"/>
      <c r="J21" s="447"/>
      <c r="K21" s="22"/>
      <c r="L21" s="22"/>
      <c r="M21" s="22"/>
      <c r="N21" s="24"/>
      <c r="O21" s="24"/>
      <c r="P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row>
    <row r="22" spans="1:101" s="122" customFormat="1" x14ac:dyDescent="0.2">
      <c r="A22" s="119"/>
      <c r="B22" s="445" t="s">
        <v>564</v>
      </c>
      <c r="C22" s="446"/>
      <c r="D22" s="446"/>
      <c r="E22" s="446"/>
      <c r="F22" s="446"/>
      <c r="G22" s="446"/>
      <c r="H22" s="446"/>
      <c r="I22" s="446"/>
      <c r="J22" s="447"/>
      <c r="K22" s="119"/>
      <c r="L22" s="119"/>
      <c r="M22" s="119"/>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row>
    <row r="23" spans="1:101" s="122" customFormat="1" x14ac:dyDescent="0.2">
      <c r="A23" s="119"/>
      <c r="B23" s="445" t="s">
        <v>565</v>
      </c>
      <c r="C23" s="446"/>
      <c r="D23" s="446"/>
      <c r="E23" s="446"/>
      <c r="F23" s="446"/>
      <c r="G23" s="446"/>
      <c r="H23" s="446"/>
      <c r="I23" s="446"/>
      <c r="J23" s="447"/>
      <c r="K23" s="119"/>
      <c r="L23" s="119"/>
      <c r="M23" s="119"/>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row>
    <row r="24" spans="1:101" ht="12.4" customHeight="1" thickBot="1" x14ac:dyDescent="0.25">
      <c r="A24" s="22"/>
      <c r="B24" s="92"/>
      <c r="C24" s="93"/>
      <c r="D24" s="93"/>
      <c r="E24" s="93"/>
      <c r="F24" s="93"/>
      <c r="G24" s="93"/>
      <c r="H24" s="93"/>
      <c r="I24" s="93"/>
      <c r="J24" s="95"/>
      <c r="K24" s="22"/>
      <c r="L24" s="22"/>
      <c r="M24" s="22"/>
      <c r="N24" s="24"/>
      <c r="O24" s="24"/>
      <c r="P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row>
    <row r="25" spans="1:101" s="55" customFormat="1" x14ac:dyDescent="0.2">
      <c r="A25" s="26"/>
      <c r="B25" s="54"/>
      <c r="C25" s="54"/>
      <c r="D25" s="54"/>
      <c r="E25" s="54"/>
      <c r="F25" s="54"/>
      <c r="G25" s="54"/>
      <c r="H25" s="54"/>
      <c r="I25" s="88"/>
      <c r="J25" s="26"/>
      <c r="K25" s="26"/>
      <c r="L25" s="26"/>
      <c r="M25" s="26"/>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row>
    <row r="26" spans="1:101" s="57" customFormat="1" ht="14.25" x14ac:dyDescent="0.2">
      <c r="A26" s="46"/>
      <c r="B26" s="23" t="s">
        <v>363</v>
      </c>
      <c r="C26" s="56"/>
      <c r="D26" s="56"/>
      <c r="E26" s="56"/>
      <c r="F26" s="56"/>
      <c r="G26" s="46"/>
      <c r="H26" s="46"/>
      <c r="I26" s="46"/>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row>
    <row r="27" spans="1:101" s="24" customFormat="1" ht="30" customHeight="1" x14ac:dyDescent="0.2">
      <c r="B27" s="429" t="s">
        <v>362</v>
      </c>
      <c r="C27" s="430"/>
      <c r="D27" s="430"/>
      <c r="E27" s="430"/>
      <c r="F27" s="430"/>
      <c r="G27" s="430"/>
      <c r="H27" s="430"/>
      <c r="I27" s="430"/>
      <c r="J27" s="430"/>
    </row>
    <row r="28" spans="1:101" s="121" customFormat="1" ht="3" customHeight="1" x14ac:dyDescent="0.2">
      <c r="B28" s="216"/>
      <c r="C28" s="216"/>
      <c r="D28" s="216"/>
      <c r="E28" s="216"/>
      <c r="F28" s="216"/>
      <c r="G28" s="216"/>
      <c r="H28" s="216"/>
      <c r="I28" s="216"/>
      <c r="J28" s="216"/>
    </row>
    <row r="29" spans="1:101" s="121" customFormat="1" ht="32.25" customHeight="1" x14ac:dyDescent="0.2">
      <c r="B29" s="429" t="s">
        <v>388</v>
      </c>
      <c r="C29" s="430"/>
      <c r="D29" s="430"/>
      <c r="E29" s="430"/>
      <c r="F29" s="430"/>
      <c r="G29" s="430"/>
      <c r="H29" s="430"/>
      <c r="I29" s="430"/>
      <c r="J29" s="430"/>
    </row>
    <row r="30" spans="1:101" s="121" customFormat="1" ht="14.25" x14ac:dyDescent="0.2">
      <c r="B30" s="216"/>
      <c r="C30" s="216"/>
      <c r="D30" s="216"/>
      <c r="E30" s="216"/>
      <c r="F30" s="216"/>
      <c r="G30" s="216"/>
      <c r="H30" s="216"/>
      <c r="I30" s="216"/>
      <c r="J30" s="216"/>
    </row>
    <row r="31" spans="1:101" s="121" customFormat="1" ht="14.25" x14ac:dyDescent="0.2">
      <c r="B31" s="435" t="s">
        <v>391</v>
      </c>
      <c r="C31" s="436"/>
      <c r="D31" s="436"/>
      <c r="E31" s="436"/>
      <c r="F31" s="436"/>
      <c r="G31" s="436"/>
      <c r="H31" s="436"/>
      <c r="I31" s="436"/>
      <c r="J31" s="436"/>
    </row>
    <row r="32" spans="1:101" s="121" customFormat="1" ht="14.25" x14ac:dyDescent="0.2">
      <c r="B32" s="216"/>
      <c r="C32" s="216"/>
      <c r="D32" s="216"/>
      <c r="E32" s="216"/>
      <c r="F32" s="216"/>
      <c r="G32" s="216"/>
      <c r="H32" s="216"/>
      <c r="I32" s="216"/>
      <c r="J32" s="216"/>
    </row>
    <row r="33" spans="2:10" s="121" customFormat="1" ht="18" x14ac:dyDescent="0.2">
      <c r="B33" s="437" t="s">
        <v>356</v>
      </c>
      <c r="C33" s="437"/>
      <c r="D33" s="437"/>
      <c r="E33" s="437"/>
      <c r="F33" s="437"/>
      <c r="G33" s="437"/>
      <c r="H33" s="437"/>
      <c r="I33" s="437"/>
      <c r="J33" s="437"/>
    </row>
    <row r="34" spans="2:10" s="121" customFormat="1" ht="3" customHeight="1" x14ac:dyDescent="0.2">
      <c r="B34" s="216"/>
      <c r="C34" s="216"/>
      <c r="D34" s="216"/>
      <c r="E34" s="216"/>
      <c r="F34" s="216"/>
      <c r="G34" s="216"/>
      <c r="H34" s="216"/>
      <c r="I34" s="216"/>
      <c r="J34" s="216"/>
    </row>
    <row r="35" spans="2:10" s="121" customFormat="1" ht="14.25" x14ac:dyDescent="0.2">
      <c r="B35" s="129" t="s">
        <v>8</v>
      </c>
      <c r="C35" s="216"/>
      <c r="D35" s="216"/>
      <c r="E35" s="216"/>
      <c r="F35" s="216"/>
      <c r="G35" s="216"/>
      <c r="H35" s="216"/>
      <c r="I35" s="216"/>
      <c r="J35" s="216"/>
    </row>
    <row r="36" spans="2:10" s="121" customFormat="1" ht="14.25" customHeight="1" x14ac:dyDescent="0.2">
      <c r="B36" s="434" t="s">
        <v>148</v>
      </c>
      <c r="C36" s="434"/>
      <c r="D36" s="434"/>
      <c r="E36" s="434"/>
      <c r="F36" s="434"/>
      <c r="G36" s="434"/>
      <c r="H36" s="434"/>
      <c r="I36" s="434"/>
      <c r="J36" s="434"/>
    </row>
    <row r="37" spans="2:10" s="121" customFormat="1" x14ac:dyDescent="0.2">
      <c r="B37" s="434" t="s">
        <v>558</v>
      </c>
      <c r="C37" s="434"/>
      <c r="D37" s="434"/>
      <c r="E37" s="434"/>
      <c r="F37" s="434"/>
      <c r="G37" s="434"/>
      <c r="H37" s="434"/>
      <c r="I37" s="434"/>
      <c r="J37" s="434"/>
    </row>
    <row r="38" spans="2:10" s="121" customFormat="1" x14ac:dyDescent="0.2">
      <c r="B38" s="434" t="s">
        <v>724</v>
      </c>
      <c r="C38" s="434"/>
      <c r="D38" s="434"/>
      <c r="E38" s="434"/>
      <c r="F38" s="434"/>
      <c r="G38" s="434"/>
      <c r="H38" s="434"/>
      <c r="I38" s="434"/>
      <c r="J38" s="434"/>
    </row>
    <row r="39" spans="2:10" s="121" customFormat="1" x14ac:dyDescent="0.2">
      <c r="B39" s="434" t="s">
        <v>433</v>
      </c>
      <c r="C39" s="434"/>
      <c r="D39" s="434"/>
      <c r="E39" s="434"/>
      <c r="F39" s="434"/>
      <c r="G39" s="434"/>
      <c r="H39" s="434"/>
      <c r="I39" s="434"/>
      <c r="J39" s="434"/>
    </row>
    <row r="40" spans="2:10" s="121" customFormat="1" ht="14.25" customHeight="1" x14ac:dyDescent="0.2">
      <c r="B40" s="434" t="s">
        <v>551</v>
      </c>
      <c r="C40" s="434"/>
      <c r="D40" s="434"/>
      <c r="E40" s="434"/>
      <c r="F40" s="434"/>
      <c r="G40" s="434"/>
      <c r="H40" s="434"/>
      <c r="I40" s="434"/>
      <c r="J40" s="434"/>
    </row>
    <row r="41" spans="2:10" s="121" customFormat="1" x14ac:dyDescent="0.2">
      <c r="B41" s="434" t="s">
        <v>434</v>
      </c>
      <c r="C41" s="434"/>
      <c r="D41" s="434"/>
      <c r="E41" s="434"/>
      <c r="F41" s="434"/>
      <c r="G41" s="434"/>
      <c r="H41" s="434"/>
      <c r="I41" s="434"/>
      <c r="J41" s="434"/>
    </row>
    <row r="42" spans="2:10" s="121" customFormat="1" ht="3" customHeight="1" x14ac:dyDescent="0.2">
      <c r="B42" s="216"/>
      <c r="C42" s="216"/>
      <c r="D42" s="216"/>
      <c r="E42" s="216"/>
      <c r="F42" s="216"/>
      <c r="G42" s="216"/>
      <c r="H42" s="216"/>
      <c r="I42" s="216"/>
      <c r="J42" s="216"/>
    </row>
    <row r="43" spans="2:10" s="121" customFormat="1" ht="15" x14ac:dyDescent="0.2">
      <c r="B43" s="131" t="s">
        <v>0</v>
      </c>
      <c r="C43" s="132"/>
      <c r="D43" s="132"/>
      <c r="E43" s="132"/>
      <c r="F43" s="132"/>
      <c r="G43" s="132"/>
      <c r="H43" s="132"/>
      <c r="I43" s="132"/>
      <c r="J43" s="133"/>
    </row>
    <row r="44" spans="2:10" s="121" customFormat="1" ht="3" customHeight="1" x14ac:dyDescent="0.2">
      <c r="B44" s="134"/>
      <c r="C44" s="134"/>
      <c r="D44" s="134"/>
      <c r="E44" s="134"/>
      <c r="F44" s="134"/>
      <c r="G44" s="134"/>
      <c r="H44" s="134"/>
      <c r="I44" s="134"/>
      <c r="J44" s="215"/>
    </row>
    <row r="45" spans="2:10" s="121" customFormat="1" ht="15" x14ac:dyDescent="0.2">
      <c r="B45" s="136" t="s">
        <v>2</v>
      </c>
      <c r="C45" s="136"/>
      <c r="D45" s="136"/>
      <c r="E45" s="137" t="s">
        <v>4</v>
      </c>
      <c r="F45" s="138"/>
      <c r="G45" s="138" t="s">
        <v>6</v>
      </c>
      <c r="H45" s="138" t="s">
        <v>3</v>
      </c>
      <c r="I45" s="138" t="s">
        <v>9</v>
      </c>
      <c r="J45" s="137" t="s">
        <v>15</v>
      </c>
    </row>
    <row r="46" spans="2:10" s="121" customFormat="1" ht="3" customHeight="1" x14ac:dyDescent="0.2">
      <c r="B46" s="134"/>
      <c r="C46" s="134"/>
      <c r="D46" s="134"/>
      <c r="E46" s="134"/>
      <c r="F46" s="134"/>
      <c r="G46" s="134"/>
      <c r="H46" s="134"/>
      <c r="I46" s="134"/>
      <c r="J46" s="215"/>
    </row>
    <row r="47" spans="2:10" s="121" customFormat="1" ht="15" x14ac:dyDescent="0.2">
      <c r="B47" s="134" t="s">
        <v>30</v>
      </c>
      <c r="C47" s="134"/>
      <c r="D47" s="134"/>
      <c r="E47" s="215" t="s">
        <v>31</v>
      </c>
      <c r="F47" s="134"/>
      <c r="G47" s="141"/>
      <c r="H47" s="139" t="s">
        <v>134</v>
      </c>
      <c r="I47" s="139" t="s">
        <v>18</v>
      </c>
      <c r="J47" s="215"/>
    </row>
    <row r="48" spans="2:10" s="121" customFormat="1" ht="3" customHeight="1" x14ac:dyDescent="0.2">
      <c r="B48" s="134"/>
      <c r="C48" s="134"/>
      <c r="D48" s="134"/>
      <c r="E48" s="215"/>
      <c r="F48" s="134"/>
      <c r="G48" s="139"/>
      <c r="H48" s="139"/>
      <c r="I48" s="139"/>
      <c r="J48" s="215"/>
    </row>
    <row r="49" spans="2:11" s="121" customFormat="1" x14ac:dyDescent="0.2">
      <c r="B49" s="134" t="s">
        <v>32</v>
      </c>
      <c r="C49" s="134"/>
      <c r="D49" s="134"/>
      <c r="E49" s="214" t="s">
        <v>33</v>
      </c>
      <c r="F49" s="134"/>
      <c r="G49" s="139">
        <v>0.1</v>
      </c>
      <c r="H49" s="139" t="s">
        <v>5</v>
      </c>
      <c r="I49" s="148" t="str">
        <f>IF(Freg_formulation=0.1, "D", "S")</f>
        <v>D</v>
      </c>
      <c r="J49" s="215"/>
    </row>
    <row r="50" spans="2:11" s="121" customFormat="1" ht="3" customHeight="1" x14ac:dyDescent="0.2">
      <c r="B50" s="134"/>
      <c r="C50" s="134"/>
      <c r="D50" s="134"/>
      <c r="E50" s="214"/>
      <c r="F50" s="134"/>
      <c r="G50" s="139"/>
      <c r="H50" s="139"/>
      <c r="I50" s="139"/>
      <c r="J50" s="215"/>
    </row>
    <row r="51" spans="2:11" s="121" customFormat="1" ht="15" x14ac:dyDescent="0.2">
      <c r="B51" s="134" t="s">
        <v>139</v>
      </c>
      <c r="C51" s="134"/>
      <c r="D51" s="134"/>
      <c r="E51" s="214" t="s">
        <v>140</v>
      </c>
      <c r="F51" s="134"/>
      <c r="G51" s="227" t="str">
        <f>IF(ISNUMBER(TONNAGEformulation), TONNAGEformulation*Freg_formulation,"??")</f>
        <v>??</v>
      </c>
      <c r="H51" s="139" t="s">
        <v>134</v>
      </c>
      <c r="I51" s="139" t="s">
        <v>7</v>
      </c>
      <c r="J51" s="215" t="s">
        <v>357</v>
      </c>
    </row>
    <row r="52" spans="2:11" s="121" customFormat="1" ht="3" customHeight="1" x14ac:dyDescent="0.2">
      <c r="B52" s="134"/>
      <c r="C52" s="134"/>
      <c r="D52" s="134"/>
      <c r="E52" s="215"/>
      <c r="F52" s="134"/>
      <c r="G52" s="139"/>
      <c r="H52" s="139"/>
      <c r="I52" s="139"/>
      <c r="J52" s="215"/>
    </row>
    <row r="53" spans="2:11" s="121" customFormat="1" ht="30" customHeight="1" x14ac:dyDescent="0.2">
      <c r="B53" s="431" t="s">
        <v>359</v>
      </c>
      <c r="C53" s="431"/>
      <c r="D53" s="134"/>
      <c r="E53" s="215" t="s">
        <v>358</v>
      </c>
      <c r="F53" s="134"/>
      <c r="G53" s="141"/>
      <c r="H53" s="139" t="s">
        <v>5</v>
      </c>
      <c r="I53" s="139" t="s">
        <v>18</v>
      </c>
      <c r="J53" s="322" t="s">
        <v>573</v>
      </c>
    </row>
    <row r="54" spans="2:11" s="121" customFormat="1" ht="3" customHeight="1" x14ac:dyDescent="0.2">
      <c r="B54" s="134"/>
      <c r="C54" s="134"/>
      <c r="D54" s="134"/>
      <c r="E54" s="215"/>
      <c r="F54" s="134"/>
      <c r="G54" s="139"/>
      <c r="H54" s="139"/>
      <c r="I54" s="139"/>
      <c r="J54" s="215"/>
    </row>
    <row r="55" spans="2:11" s="121" customFormat="1" ht="27" customHeight="1" x14ac:dyDescent="0.2">
      <c r="B55" s="134" t="s">
        <v>360</v>
      </c>
      <c r="C55" s="134"/>
      <c r="D55" s="134"/>
      <c r="E55" s="215" t="s">
        <v>361</v>
      </c>
      <c r="F55" s="134"/>
      <c r="G55" s="227" t="str">
        <f>IF(AND(ISNUMBER(TONNAGEreg_formulation), ISNUMBER(Fchem_form)),TONNAGEreg_formulation/Fchem_form,"??")</f>
        <v>??</v>
      </c>
      <c r="H55" s="139" t="s">
        <v>134</v>
      </c>
      <c r="I55" s="139" t="s">
        <v>7</v>
      </c>
      <c r="J55" s="213" t="s">
        <v>555</v>
      </c>
    </row>
    <row r="56" spans="2:11" s="121" customFormat="1" ht="3" customHeight="1" thickBot="1" x14ac:dyDescent="0.25">
      <c r="B56" s="134"/>
      <c r="C56" s="134"/>
      <c r="D56" s="134"/>
      <c r="E56" s="215"/>
      <c r="F56" s="134"/>
      <c r="G56" s="139"/>
      <c r="H56" s="139"/>
      <c r="I56" s="139"/>
      <c r="J56" s="213"/>
    </row>
    <row r="57" spans="2:11" s="121" customFormat="1" ht="42.75" customHeight="1" thickTop="1" thickBot="1" x14ac:dyDescent="0.25">
      <c r="B57" s="431" t="s">
        <v>723</v>
      </c>
      <c r="C57" s="431"/>
      <c r="D57" s="134"/>
      <c r="E57" s="444" t="s">
        <v>380</v>
      </c>
      <c r="F57" s="444"/>
      <c r="G57" s="444"/>
      <c r="H57" s="139"/>
      <c r="I57" s="139"/>
      <c r="J57" s="213"/>
    </row>
    <row r="58" spans="2:11" s="121" customFormat="1" ht="3" customHeight="1" thickTop="1" x14ac:dyDescent="0.2">
      <c r="B58" s="215"/>
      <c r="C58" s="213"/>
      <c r="D58" s="134"/>
      <c r="E58" s="215"/>
      <c r="F58" s="134"/>
      <c r="G58" s="139"/>
      <c r="H58" s="139"/>
      <c r="I58" s="139"/>
      <c r="J58" s="213"/>
    </row>
    <row r="59" spans="2:11" s="121" customFormat="1" x14ac:dyDescent="0.2">
      <c r="B59" s="134" t="s">
        <v>377</v>
      </c>
      <c r="C59" s="134"/>
      <c r="D59" s="134"/>
      <c r="E59" s="215" t="s">
        <v>165</v>
      </c>
      <c r="F59" s="134"/>
      <c r="G59" s="36" t="str">
        <f>INDEX('Pick-lists &amp; Defaults'!C40:C49,MATCH('PT6-detergents &amp; clean. fluids'!E57,tonnage_range_detergents,0))</f>
        <v>??</v>
      </c>
      <c r="H59" s="139" t="s">
        <v>5</v>
      </c>
      <c r="I59" s="139" t="s">
        <v>237</v>
      </c>
      <c r="J59" s="215" t="s">
        <v>556</v>
      </c>
      <c r="K59" s="84"/>
    </row>
    <row r="60" spans="2:11" s="121" customFormat="1" ht="3" customHeight="1" x14ac:dyDescent="0.2">
      <c r="B60" s="134"/>
      <c r="C60" s="134"/>
      <c r="D60" s="134"/>
      <c r="E60" s="215"/>
      <c r="F60" s="134"/>
      <c r="G60" s="139"/>
      <c r="H60" s="139"/>
      <c r="I60" s="139"/>
      <c r="J60" s="215"/>
    </row>
    <row r="61" spans="2:11" s="121" customFormat="1" ht="15" x14ac:dyDescent="0.2">
      <c r="B61" s="134" t="s">
        <v>164</v>
      </c>
      <c r="C61" s="134"/>
      <c r="D61" s="134"/>
      <c r="E61" s="215" t="s">
        <v>378</v>
      </c>
      <c r="F61" s="134"/>
      <c r="G61" s="274" t="str">
        <f>INDEX('Pick-lists &amp; Defaults'!E40:E49,MATCH(TONNAGEregform_picklist,tonnage_range_detergents,0))</f>
        <v>??</v>
      </c>
      <c r="H61" s="139" t="s">
        <v>651</v>
      </c>
      <c r="I61" s="139" t="s">
        <v>237</v>
      </c>
      <c r="J61" s="316" t="s">
        <v>556</v>
      </c>
    </row>
    <row r="62" spans="2:11" s="121" customFormat="1" ht="3" customHeight="1" thickBot="1" x14ac:dyDescent="0.25">
      <c r="B62" s="134"/>
      <c r="C62" s="134"/>
      <c r="D62" s="134"/>
      <c r="E62" s="215"/>
      <c r="F62" s="134"/>
      <c r="G62" s="139"/>
      <c r="H62" s="139"/>
      <c r="I62" s="139"/>
      <c r="J62" s="215"/>
    </row>
    <row r="63" spans="2:11" s="121" customFormat="1" ht="27" thickTop="1" thickBot="1" x14ac:dyDescent="0.25">
      <c r="B63" s="213" t="s">
        <v>379</v>
      </c>
      <c r="C63" s="228" t="s">
        <v>364</v>
      </c>
      <c r="D63" s="134"/>
      <c r="E63" s="215" t="s">
        <v>97</v>
      </c>
      <c r="F63" s="134"/>
      <c r="G63" s="36" t="str">
        <f>INDEX('Pick-lists &amp; Defaults'!C32:C36,MATCH(product_form,Select_form_of_product,0))</f>
        <v>??</v>
      </c>
      <c r="H63" s="139" t="s">
        <v>5</v>
      </c>
      <c r="I63" s="139" t="s">
        <v>237</v>
      </c>
      <c r="J63" s="213" t="s">
        <v>557</v>
      </c>
      <c r="K63" s="140"/>
    </row>
    <row r="64" spans="2:11" s="121" customFormat="1" ht="3" customHeight="1" thickTop="1" x14ac:dyDescent="0.2">
      <c r="B64" s="213"/>
      <c r="C64" s="134"/>
      <c r="D64" s="134"/>
      <c r="E64" s="215"/>
      <c r="F64" s="134"/>
      <c r="G64" s="134"/>
      <c r="H64" s="139"/>
      <c r="I64" s="139"/>
      <c r="J64" s="215"/>
    </row>
    <row r="65" spans="2:10" s="121" customFormat="1" ht="38.25" customHeight="1" x14ac:dyDescent="0.2">
      <c r="B65" s="427" t="s">
        <v>384</v>
      </c>
      <c r="C65" s="427"/>
      <c r="D65" s="134"/>
      <c r="E65" s="215" t="s">
        <v>385</v>
      </c>
      <c r="F65" s="134"/>
      <c r="G65" s="141"/>
      <c r="H65" s="139" t="s">
        <v>5</v>
      </c>
      <c r="I65" s="139" t="s">
        <v>18</v>
      </c>
      <c r="J65" s="215"/>
    </row>
    <row r="66" spans="2:10" s="121" customFormat="1" x14ac:dyDescent="0.2">
      <c r="B66" s="134"/>
      <c r="C66" s="134"/>
      <c r="D66" s="134"/>
      <c r="E66" s="134"/>
      <c r="F66" s="134"/>
      <c r="G66" s="134"/>
      <c r="H66" s="134"/>
      <c r="I66" s="134"/>
      <c r="J66" s="215"/>
    </row>
    <row r="67" spans="2:10" s="121" customFormat="1" ht="15" x14ac:dyDescent="0.2">
      <c r="B67" s="131" t="s">
        <v>1</v>
      </c>
      <c r="C67" s="132"/>
      <c r="D67" s="132"/>
      <c r="E67" s="132"/>
      <c r="F67" s="132"/>
      <c r="G67" s="132"/>
      <c r="H67" s="132"/>
      <c r="I67" s="132"/>
      <c r="J67" s="133"/>
    </row>
    <row r="68" spans="2:10" s="121" customFormat="1" ht="3" customHeight="1" x14ac:dyDescent="0.2">
      <c r="B68" s="134"/>
      <c r="C68" s="134"/>
      <c r="D68" s="134"/>
      <c r="E68" s="134"/>
      <c r="F68" s="134"/>
      <c r="G68" s="134"/>
      <c r="H68" s="134"/>
      <c r="I68" s="134"/>
      <c r="J68" s="215"/>
    </row>
    <row r="69" spans="2:10" s="121" customFormat="1" ht="15" x14ac:dyDescent="0.2">
      <c r="B69" s="136" t="s">
        <v>2</v>
      </c>
      <c r="C69" s="136"/>
      <c r="D69" s="136"/>
      <c r="E69" s="137" t="s">
        <v>4</v>
      </c>
      <c r="F69" s="138"/>
      <c r="G69" s="138" t="s">
        <v>6</v>
      </c>
      <c r="H69" s="138" t="s">
        <v>3</v>
      </c>
      <c r="I69" s="138" t="s">
        <v>9</v>
      </c>
      <c r="J69" s="137" t="s">
        <v>15</v>
      </c>
    </row>
    <row r="70" spans="2:10" s="121" customFormat="1" ht="3" customHeight="1" x14ac:dyDescent="0.2">
      <c r="B70" s="136"/>
      <c r="C70" s="136"/>
      <c r="D70" s="136"/>
      <c r="E70" s="137"/>
      <c r="F70" s="138"/>
      <c r="G70" s="138"/>
      <c r="H70" s="138"/>
      <c r="I70" s="138"/>
      <c r="J70" s="137"/>
    </row>
    <row r="71" spans="2:10" s="121" customFormat="1" ht="27.75" x14ac:dyDescent="0.2">
      <c r="B71" s="161" t="s">
        <v>57</v>
      </c>
      <c r="C71" s="86"/>
      <c r="D71" s="134"/>
      <c r="E71" s="134" t="s">
        <v>44</v>
      </c>
      <c r="F71" s="134"/>
      <c r="G71" s="149" t="str">
        <f>IF(AND(ISNUMBER(TONNAGEreg_formulation),ISNUMBER(Fmainsource_form),ISNUMBER(Fwater_form),ISNUMBER(Temission_form)),TONNAGEreg_formulation*1000*Fmainsource_form*Fwater_form/Temission_form,"??")</f>
        <v>??</v>
      </c>
      <c r="H71" s="139" t="s">
        <v>16</v>
      </c>
      <c r="I71" s="139" t="s">
        <v>7</v>
      </c>
      <c r="J71" s="217" t="s">
        <v>411</v>
      </c>
    </row>
    <row r="72" spans="2:10" s="121" customFormat="1" ht="3" customHeight="1" x14ac:dyDescent="0.2">
      <c r="B72" s="161"/>
      <c r="C72" s="86"/>
      <c r="D72" s="134"/>
      <c r="E72" s="134"/>
      <c r="F72" s="134"/>
      <c r="G72" s="134"/>
      <c r="H72" s="139"/>
      <c r="I72" s="139"/>
      <c r="J72" s="217"/>
    </row>
    <row r="73" spans="2:10" s="121" customFormat="1" ht="27.75" x14ac:dyDescent="0.2">
      <c r="B73" s="161" t="s">
        <v>386</v>
      </c>
      <c r="C73" s="86"/>
      <c r="D73" s="134"/>
      <c r="E73" s="134" t="s">
        <v>387</v>
      </c>
      <c r="F73" s="134"/>
      <c r="G73" s="149" t="str">
        <f>IF(AND(ISNUMBER(TONNAGEreg_formulation),ISNUMBER(Fmainsource_form),ISNUMBER(Fwater_refined),ISNUMBER(Temission_form)),TONNAGEreg_formulation*1000*Fmainsource_form*Fwater_refined/Temission_form,"??")</f>
        <v>??</v>
      </c>
      <c r="H73" s="139" t="s">
        <v>16</v>
      </c>
      <c r="I73" s="139" t="s">
        <v>7</v>
      </c>
      <c r="J73" s="217" t="s">
        <v>545</v>
      </c>
    </row>
    <row r="74" spans="2:10" s="121" customFormat="1" x14ac:dyDescent="0.2">
      <c r="B74" s="161"/>
      <c r="C74" s="86"/>
      <c r="D74" s="134"/>
      <c r="E74" s="134"/>
      <c r="F74" s="134"/>
      <c r="G74" s="134"/>
      <c r="H74" s="139"/>
      <c r="I74" s="139"/>
      <c r="J74" s="217"/>
    </row>
    <row r="75" spans="2:10" s="121" customFormat="1" x14ac:dyDescent="0.2">
      <c r="B75" s="143" t="s">
        <v>10</v>
      </c>
      <c r="G75" s="157"/>
      <c r="J75" s="146"/>
    </row>
    <row r="76" spans="2:10" s="121" customFormat="1" x14ac:dyDescent="0.2">
      <c r="J76" s="146"/>
    </row>
    <row r="77" spans="2:10" s="121" customFormat="1" x14ac:dyDescent="0.2">
      <c r="B77" s="254" t="s">
        <v>422</v>
      </c>
      <c r="J77" s="146"/>
    </row>
    <row r="78" spans="2:10" s="24" customFormat="1" ht="14.25" x14ac:dyDescent="0.2">
      <c r="B78" s="90"/>
      <c r="C78" s="90"/>
      <c r="D78" s="90"/>
      <c r="E78" s="90"/>
      <c r="F78" s="90"/>
      <c r="G78" s="90"/>
      <c r="H78" s="90"/>
      <c r="I78" s="90"/>
      <c r="J78" s="90"/>
    </row>
    <row r="79" spans="2:10" s="24" customFormat="1" ht="14.25" x14ac:dyDescent="0.2">
      <c r="B79" s="435" t="s">
        <v>381</v>
      </c>
      <c r="C79" s="436"/>
      <c r="D79" s="436"/>
      <c r="E79" s="436"/>
      <c r="F79" s="436"/>
      <c r="G79" s="436"/>
      <c r="H79" s="436"/>
      <c r="I79" s="436"/>
      <c r="J79" s="436"/>
    </row>
    <row r="80" spans="2:10" s="121" customFormat="1" ht="14.25" x14ac:dyDescent="0.2">
      <c r="B80" s="216"/>
      <c r="C80" s="216"/>
      <c r="D80" s="216"/>
      <c r="E80" s="216"/>
      <c r="F80" s="216"/>
      <c r="G80" s="216"/>
      <c r="H80" s="216"/>
      <c r="I80" s="216"/>
      <c r="J80" s="216"/>
    </row>
    <row r="81" spans="2:10" s="121" customFormat="1" ht="14.25" x14ac:dyDescent="0.2">
      <c r="B81" s="432" t="s">
        <v>382</v>
      </c>
      <c r="C81" s="433"/>
      <c r="D81" s="433"/>
      <c r="E81" s="433"/>
      <c r="F81" s="433"/>
      <c r="G81" s="433"/>
      <c r="H81" s="433"/>
      <c r="I81" s="433"/>
      <c r="J81" s="433"/>
    </row>
    <row r="82" spans="2:10" s="121" customFormat="1" ht="14.25" x14ac:dyDescent="0.2">
      <c r="B82" s="216"/>
      <c r="C82" s="216"/>
      <c r="D82" s="216"/>
      <c r="E82" s="216"/>
      <c r="F82" s="216"/>
      <c r="G82" s="216"/>
      <c r="H82" s="216"/>
      <c r="I82" s="216"/>
      <c r="J82" s="216"/>
    </row>
    <row r="83" spans="2:10" s="121" customFormat="1" ht="38.25" customHeight="1" x14ac:dyDescent="0.2">
      <c r="B83" s="437" t="s">
        <v>646</v>
      </c>
      <c r="C83" s="437"/>
      <c r="D83" s="437"/>
      <c r="E83" s="437"/>
      <c r="F83" s="437"/>
      <c r="G83" s="437"/>
      <c r="H83" s="437"/>
      <c r="I83" s="437"/>
      <c r="J83" s="437"/>
    </row>
    <row r="84" spans="2:10" s="121" customFormat="1" ht="3" customHeight="1" x14ac:dyDescent="0.2">
      <c r="B84" s="216"/>
      <c r="C84" s="216"/>
      <c r="D84" s="216"/>
      <c r="E84" s="216"/>
      <c r="F84" s="216"/>
      <c r="G84" s="216"/>
      <c r="H84" s="216"/>
      <c r="I84" s="216"/>
      <c r="J84" s="216"/>
    </row>
    <row r="85" spans="2:10" s="101" customFormat="1" ht="14.25" x14ac:dyDescent="0.2">
      <c r="B85" s="105" t="s">
        <v>8</v>
      </c>
      <c r="C85" s="102"/>
      <c r="D85" s="102"/>
      <c r="E85" s="102"/>
      <c r="F85" s="102"/>
      <c r="G85" s="102"/>
      <c r="H85" s="102"/>
      <c r="I85" s="102"/>
      <c r="J85" s="102"/>
    </row>
    <row r="86" spans="2:10" s="101" customFormat="1" ht="14.25" x14ac:dyDescent="0.2">
      <c r="B86" s="106" t="s">
        <v>148</v>
      </c>
      <c r="C86" s="102"/>
      <c r="D86" s="102"/>
      <c r="E86" s="102"/>
      <c r="F86" s="102"/>
      <c r="G86" s="102"/>
      <c r="H86" s="102"/>
      <c r="I86" s="102"/>
      <c r="J86" s="102"/>
    </row>
    <row r="87" spans="2:10" s="101" customFormat="1" ht="14.25" x14ac:dyDescent="0.2">
      <c r="B87" s="106" t="s">
        <v>143</v>
      </c>
      <c r="C87" s="102"/>
      <c r="D87" s="102"/>
      <c r="E87" s="102"/>
      <c r="F87" s="102"/>
      <c r="G87" s="102"/>
      <c r="H87" s="102"/>
      <c r="I87" s="102"/>
      <c r="J87" s="102"/>
    </row>
    <row r="88" spans="2:10" s="101" customFormat="1" ht="3" customHeight="1" x14ac:dyDescent="0.2">
      <c r="B88" s="102"/>
      <c r="C88" s="102"/>
      <c r="D88" s="102"/>
      <c r="E88" s="102"/>
      <c r="F88" s="102"/>
      <c r="G88" s="102"/>
      <c r="H88" s="102"/>
      <c r="I88" s="102"/>
      <c r="J88" s="102"/>
    </row>
    <row r="89" spans="2:10" s="104" customFormat="1" ht="15" x14ac:dyDescent="0.2">
      <c r="B89" s="107" t="s">
        <v>0</v>
      </c>
      <c r="C89" s="108"/>
      <c r="D89" s="108"/>
      <c r="E89" s="108"/>
      <c r="F89" s="108"/>
      <c r="G89" s="108"/>
      <c r="H89" s="108"/>
      <c r="I89" s="108"/>
      <c r="J89" s="109"/>
    </row>
    <row r="90" spans="2:10" s="104" customFormat="1" ht="3" customHeight="1" x14ac:dyDescent="0.2">
      <c r="B90" s="110"/>
      <c r="C90" s="110"/>
      <c r="D90" s="110"/>
      <c r="E90" s="110"/>
      <c r="F90" s="110"/>
      <c r="G90" s="110"/>
      <c r="H90" s="110"/>
      <c r="I90" s="110"/>
      <c r="J90" s="111"/>
    </row>
    <row r="91" spans="2:10" s="104" customFormat="1" ht="15" x14ac:dyDescent="0.2">
      <c r="B91" s="112" t="s">
        <v>2</v>
      </c>
      <c r="C91" s="112"/>
      <c r="D91" s="112"/>
      <c r="E91" s="113" t="s">
        <v>4</v>
      </c>
      <c r="F91" s="114"/>
      <c r="G91" s="114" t="s">
        <v>6</v>
      </c>
      <c r="H91" s="114" t="s">
        <v>3</v>
      </c>
      <c r="I91" s="114" t="s">
        <v>9</v>
      </c>
      <c r="J91" s="113" t="s">
        <v>15</v>
      </c>
    </row>
    <row r="92" spans="2:10" s="104" customFormat="1" ht="3" customHeight="1" x14ac:dyDescent="0.2">
      <c r="B92" s="110"/>
      <c r="C92" s="110"/>
      <c r="D92" s="110"/>
      <c r="E92" s="110"/>
      <c r="F92" s="110"/>
      <c r="G92" s="110"/>
      <c r="H92" s="110"/>
      <c r="I92" s="110"/>
      <c r="J92" s="111"/>
    </row>
    <row r="93" spans="2:10" s="104" customFormat="1" ht="15" x14ac:dyDescent="0.2">
      <c r="B93" s="115" t="s">
        <v>30</v>
      </c>
      <c r="C93" s="110"/>
      <c r="D93" s="110"/>
      <c r="E93" s="116" t="s">
        <v>31</v>
      </c>
      <c r="F93" s="110"/>
      <c r="G93" s="118"/>
      <c r="H93" s="139" t="s">
        <v>134</v>
      </c>
      <c r="I93" s="139" t="s">
        <v>18</v>
      </c>
      <c r="J93" s="111"/>
    </row>
    <row r="94" spans="2:10" s="104" customFormat="1" ht="3" customHeight="1" x14ac:dyDescent="0.2">
      <c r="B94" s="115"/>
      <c r="C94" s="110"/>
      <c r="D94" s="110"/>
      <c r="E94" s="116"/>
      <c r="F94" s="110"/>
      <c r="G94" s="117"/>
      <c r="H94" s="139"/>
      <c r="I94" s="139"/>
      <c r="J94" s="111"/>
    </row>
    <row r="95" spans="2:10" s="104" customFormat="1" x14ac:dyDescent="0.2">
      <c r="B95" s="115" t="s">
        <v>32</v>
      </c>
      <c r="C95" s="110"/>
      <c r="D95" s="110"/>
      <c r="E95" s="159" t="s">
        <v>136</v>
      </c>
      <c r="F95" s="110"/>
      <c r="G95" s="117">
        <v>0.1</v>
      </c>
      <c r="H95" s="139" t="s">
        <v>5</v>
      </c>
      <c r="I95" s="148" t="str">
        <f>IF(Fprodvol_reg_priv=0.1, "D", "S")</f>
        <v>D</v>
      </c>
      <c r="J95" s="111"/>
    </row>
    <row r="96" spans="2:10" s="121" customFormat="1" ht="3" customHeight="1" x14ac:dyDescent="0.2">
      <c r="B96" s="134"/>
      <c r="C96" s="134"/>
      <c r="D96" s="134"/>
      <c r="E96" s="159"/>
      <c r="F96" s="134"/>
      <c r="G96" s="139"/>
      <c r="H96" s="139"/>
      <c r="I96" s="139"/>
      <c r="J96" s="135"/>
    </row>
    <row r="97" spans="2:16" s="121" customFormat="1" ht="15" x14ac:dyDescent="0.2">
      <c r="B97" s="134" t="s">
        <v>139</v>
      </c>
      <c r="C97" s="134"/>
      <c r="D97" s="134"/>
      <c r="E97" s="159" t="s">
        <v>140</v>
      </c>
      <c r="F97" s="134"/>
      <c r="G97" s="227" t="str">
        <f>IF(ISNUMBER(Tonnage_priv), Tonnage_priv*Fprodvol_reg_priv,"??")</f>
        <v>??</v>
      </c>
      <c r="H97" s="139" t="s">
        <v>134</v>
      </c>
      <c r="I97" s="139" t="s">
        <v>7</v>
      </c>
      <c r="J97" s="135" t="s">
        <v>141</v>
      </c>
    </row>
    <row r="98" spans="2:16" s="104" customFormat="1" ht="3" customHeight="1" x14ac:dyDescent="0.2">
      <c r="B98" s="115"/>
      <c r="C98" s="110"/>
      <c r="D98" s="110"/>
      <c r="E98" s="116"/>
      <c r="F98" s="110"/>
      <c r="G98" s="117"/>
      <c r="H98" s="139"/>
      <c r="I98" s="139"/>
      <c r="J98" s="111"/>
    </row>
    <row r="99" spans="2:16" s="104" customFormat="1" x14ac:dyDescent="0.2">
      <c r="B99" s="115" t="s">
        <v>133</v>
      </c>
      <c r="C99" s="110"/>
      <c r="D99" s="110"/>
      <c r="E99" s="116" t="s">
        <v>135</v>
      </c>
      <c r="F99" s="110"/>
      <c r="G99" s="117">
        <v>2E-3</v>
      </c>
      <c r="H99" s="139" t="s">
        <v>5</v>
      </c>
      <c r="I99" s="148" t="str">
        <f>IF(Fmainsource_priv=0.002, "D", "S")</f>
        <v>D</v>
      </c>
      <c r="J99" s="111"/>
    </row>
    <row r="100" spans="2:16" s="104" customFormat="1" ht="3" customHeight="1" x14ac:dyDescent="0.2">
      <c r="B100" s="115"/>
      <c r="C100" s="110"/>
      <c r="D100" s="110"/>
      <c r="E100" s="116"/>
      <c r="F100" s="110"/>
      <c r="G100" s="117"/>
      <c r="H100" s="139"/>
      <c r="I100" s="139"/>
      <c r="J100" s="111"/>
    </row>
    <row r="101" spans="2:16" s="104" customFormat="1" ht="31.5" customHeight="1" x14ac:dyDescent="0.2">
      <c r="B101" s="431" t="s">
        <v>142</v>
      </c>
      <c r="C101" s="431"/>
      <c r="D101" s="110"/>
      <c r="E101" s="159" t="s">
        <v>113</v>
      </c>
      <c r="F101" s="110"/>
      <c r="G101" s="117">
        <v>0</v>
      </c>
      <c r="H101" s="142" t="s">
        <v>5</v>
      </c>
      <c r="I101" s="148" t="str">
        <f>IF(Fdis_ton_priv=0, "D", "S")</f>
        <v>D</v>
      </c>
      <c r="J101" s="111"/>
    </row>
    <row r="102" spans="2:16" s="104" customFormat="1" ht="3" customHeight="1" x14ac:dyDescent="0.2">
      <c r="B102" s="115"/>
      <c r="C102" s="110"/>
      <c r="D102" s="110"/>
      <c r="E102" s="116"/>
      <c r="F102" s="110"/>
      <c r="G102" s="117"/>
      <c r="H102" s="139"/>
      <c r="I102" s="139"/>
      <c r="J102" s="111"/>
    </row>
    <row r="103" spans="2:16" s="104" customFormat="1" ht="15" x14ac:dyDescent="0.2">
      <c r="B103" s="115" t="s">
        <v>389</v>
      </c>
      <c r="C103" s="110"/>
      <c r="D103" s="110"/>
      <c r="E103" s="116" t="s">
        <v>97</v>
      </c>
      <c r="F103" s="110"/>
      <c r="G103" s="117">
        <v>1</v>
      </c>
      <c r="H103" s="139" t="s">
        <v>5</v>
      </c>
      <c r="I103" s="148" t="str">
        <f>IF(Fwater_ton_priv=1, "D", "S")</f>
        <v>D</v>
      </c>
      <c r="J103" s="111"/>
    </row>
    <row r="104" spans="2:16" s="104" customFormat="1" ht="3" customHeight="1" x14ac:dyDescent="0.2">
      <c r="B104" s="115"/>
      <c r="C104" s="110"/>
      <c r="D104" s="110"/>
      <c r="E104" s="116"/>
      <c r="F104" s="110"/>
      <c r="G104" s="117"/>
      <c r="H104" s="139"/>
      <c r="I104" s="139"/>
      <c r="J104" s="111"/>
    </row>
    <row r="105" spans="2:16" s="104" customFormat="1" ht="15" x14ac:dyDescent="0.2">
      <c r="B105" s="115" t="s">
        <v>137</v>
      </c>
      <c r="C105" s="110"/>
      <c r="D105" s="110"/>
      <c r="E105" s="116" t="s">
        <v>378</v>
      </c>
      <c r="F105" s="110"/>
      <c r="G105" s="158">
        <v>365</v>
      </c>
      <c r="H105" s="139" t="s">
        <v>651</v>
      </c>
      <c r="I105" s="148" t="str">
        <f>IF(Temission_priv=365, "D", "S")</f>
        <v>D</v>
      </c>
      <c r="J105" s="111"/>
    </row>
    <row r="106" spans="2:16" s="121" customFormat="1" ht="3" customHeight="1" x14ac:dyDescent="0.2">
      <c r="B106" s="134"/>
      <c r="C106" s="134"/>
      <c r="D106" s="134"/>
      <c r="E106" s="135"/>
      <c r="F106" s="134"/>
      <c r="G106" s="139"/>
      <c r="H106" s="139"/>
      <c r="I106" s="148"/>
      <c r="J106" s="135"/>
      <c r="M106" s="126"/>
      <c r="N106" s="126"/>
      <c r="O106" s="126"/>
      <c r="P106" s="126"/>
    </row>
    <row r="107" spans="2:16" s="104" customFormat="1" ht="15" x14ac:dyDescent="0.2">
      <c r="B107" s="131" t="s">
        <v>1</v>
      </c>
      <c r="C107" s="132"/>
      <c r="D107" s="132"/>
      <c r="E107" s="132"/>
      <c r="F107" s="132"/>
      <c r="G107" s="132"/>
      <c r="H107" s="132"/>
      <c r="I107" s="132"/>
      <c r="J107" s="133"/>
    </row>
    <row r="108" spans="2:16" s="104" customFormat="1" ht="3" customHeight="1" x14ac:dyDescent="0.2">
      <c r="B108" s="134"/>
      <c r="C108" s="134"/>
      <c r="D108" s="134"/>
      <c r="E108" s="134"/>
      <c r="F108" s="134"/>
      <c r="G108" s="134"/>
      <c r="H108" s="134"/>
      <c r="I108" s="134"/>
      <c r="J108" s="135"/>
    </row>
    <row r="109" spans="2:16" s="104" customFormat="1" ht="15" x14ac:dyDescent="0.2">
      <c r="B109" s="136" t="s">
        <v>2</v>
      </c>
      <c r="C109" s="136"/>
      <c r="D109" s="136"/>
      <c r="E109" s="137" t="s">
        <v>4</v>
      </c>
      <c r="F109" s="138"/>
      <c r="G109" s="138" t="s">
        <v>6</v>
      </c>
      <c r="H109" s="138" t="s">
        <v>3</v>
      </c>
      <c r="I109" s="138" t="s">
        <v>9</v>
      </c>
      <c r="J109" s="137" t="s">
        <v>15</v>
      </c>
    </row>
    <row r="110" spans="2:16" s="104" customFormat="1" ht="3" customHeight="1" x14ac:dyDescent="0.2">
      <c r="B110" s="136"/>
      <c r="C110" s="136"/>
      <c r="D110" s="136"/>
      <c r="E110" s="137"/>
      <c r="F110" s="138"/>
      <c r="G110" s="138"/>
      <c r="H110" s="138"/>
      <c r="I110" s="138"/>
      <c r="J110" s="137"/>
    </row>
    <row r="111" spans="2:16" s="104" customFormat="1" ht="27.75" x14ac:dyDescent="0.2">
      <c r="B111" s="161" t="s">
        <v>57</v>
      </c>
      <c r="C111" s="86"/>
      <c r="D111" s="134"/>
      <c r="E111" s="134" t="s">
        <v>44</v>
      </c>
      <c r="F111" s="134"/>
      <c r="G111" s="149" t="str">
        <f>IF(ISNUMBER(Tonnage_reg_priv),Tonnage_reg_priv*1000*Fmainsource_priv*(1-Fdis_ton_priv)*Fwater_ton_priv/Temission_priv,"??")</f>
        <v>??</v>
      </c>
      <c r="H111" s="139" t="s">
        <v>16</v>
      </c>
      <c r="I111" s="139" t="s">
        <v>7</v>
      </c>
      <c r="J111" s="144" t="s">
        <v>654</v>
      </c>
    </row>
    <row r="112" spans="2:16" s="101" customFormat="1" x14ac:dyDescent="0.2">
      <c r="B112" s="134"/>
      <c r="C112" s="134"/>
      <c r="D112" s="134"/>
      <c r="E112" s="134"/>
      <c r="F112" s="134"/>
      <c r="G112" s="134"/>
      <c r="H112" s="134"/>
      <c r="I112" s="134"/>
      <c r="J112" s="135"/>
    </row>
    <row r="113" spans="2:10" s="121" customFormat="1" x14ac:dyDescent="0.2">
      <c r="B113" s="143" t="s">
        <v>10</v>
      </c>
      <c r="J113" s="146"/>
    </row>
    <row r="114" spans="2:10" s="121" customFormat="1" x14ac:dyDescent="0.2">
      <c r="B114" s="438" t="s">
        <v>169</v>
      </c>
      <c r="C114" s="438"/>
      <c r="D114" s="438"/>
      <c r="E114" s="438"/>
      <c r="F114" s="438"/>
      <c r="G114" s="438"/>
      <c r="H114" s="438"/>
      <c r="I114" s="438"/>
      <c r="J114" s="438"/>
    </row>
    <row r="115" spans="2:10" s="121" customFormat="1" x14ac:dyDescent="0.2">
      <c r="B115" s="428" t="s">
        <v>390</v>
      </c>
      <c r="C115" s="428"/>
      <c r="D115" s="428"/>
      <c r="E115" s="428"/>
      <c r="F115" s="428"/>
      <c r="G115" s="428"/>
      <c r="H115" s="428"/>
      <c r="I115" s="428"/>
      <c r="J115" s="428"/>
    </row>
    <row r="116" spans="2:10" s="121" customFormat="1" ht="12.75" customHeight="1" x14ac:dyDescent="0.2">
      <c r="B116" s="230"/>
      <c r="C116" s="230"/>
      <c r="D116" s="230"/>
      <c r="E116" s="230"/>
      <c r="F116" s="230"/>
      <c r="G116" s="230"/>
      <c r="H116" s="230"/>
      <c r="I116" s="230"/>
      <c r="J116" s="230"/>
    </row>
    <row r="117" spans="2:10" s="101" customFormat="1" ht="14.25" x14ac:dyDescent="0.2">
      <c r="B117" s="254" t="s">
        <v>422</v>
      </c>
      <c r="C117" s="102"/>
      <c r="D117" s="102"/>
      <c r="E117" s="102"/>
      <c r="F117" s="102"/>
      <c r="G117" s="102"/>
      <c r="H117" s="102"/>
      <c r="I117" s="102"/>
      <c r="J117" s="102"/>
    </row>
    <row r="118" spans="2:10" s="121" customFormat="1" ht="14.25" x14ac:dyDescent="0.2">
      <c r="B118" s="319"/>
      <c r="C118" s="319"/>
      <c r="D118" s="319"/>
      <c r="E118" s="319"/>
      <c r="F118" s="319"/>
      <c r="G118" s="319"/>
      <c r="H118" s="319"/>
      <c r="I118" s="319"/>
      <c r="J118" s="319"/>
    </row>
    <row r="119" spans="2:10" s="121" customFormat="1" ht="38.25" customHeight="1" x14ac:dyDescent="0.2">
      <c r="B119" s="437" t="s">
        <v>647</v>
      </c>
      <c r="C119" s="437"/>
      <c r="D119" s="437"/>
      <c r="E119" s="437"/>
      <c r="F119" s="437"/>
      <c r="G119" s="437"/>
      <c r="H119" s="437"/>
      <c r="I119" s="437"/>
      <c r="J119" s="437"/>
    </row>
    <row r="120" spans="2:10" s="121" customFormat="1" ht="3" customHeight="1" x14ac:dyDescent="0.2">
      <c r="B120" s="319"/>
      <c r="C120" s="319"/>
      <c r="D120" s="319"/>
      <c r="E120" s="319"/>
      <c r="F120" s="319"/>
      <c r="G120" s="319"/>
      <c r="H120" s="319"/>
      <c r="I120" s="319"/>
      <c r="J120" s="319"/>
    </row>
    <row r="121" spans="2:10" s="121" customFormat="1" ht="14.25" x14ac:dyDescent="0.2">
      <c r="B121" s="129" t="s">
        <v>8</v>
      </c>
      <c r="C121" s="319"/>
      <c r="D121" s="319"/>
      <c r="E121" s="319"/>
      <c r="F121" s="319"/>
      <c r="G121" s="319"/>
      <c r="H121" s="319"/>
      <c r="I121" s="319"/>
      <c r="J121" s="319"/>
    </row>
    <row r="122" spans="2:10" s="121" customFormat="1" ht="14.25" x14ac:dyDescent="0.2">
      <c r="B122" s="130" t="s">
        <v>148</v>
      </c>
      <c r="C122" s="319"/>
      <c r="D122" s="319"/>
      <c r="E122" s="319"/>
      <c r="F122" s="319"/>
      <c r="G122" s="319"/>
      <c r="H122" s="319"/>
      <c r="I122" s="319"/>
      <c r="J122" s="319"/>
    </row>
    <row r="123" spans="2:10" s="121" customFormat="1" ht="14.25" x14ac:dyDescent="0.2">
      <c r="B123" s="130" t="s">
        <v>143</v>
      </c>
      <c r="C123" s="319"/>
      <c r="D123" s="319"/>
      <c r="E123" s="319"/>
      <c r="F123" s="319"/>
      <c r="G123" s="319"/>
      <c r="H123" s="319"/>
      <c r="I123" s="319"/>
      <c r="J123" s="319"/>
    </row>
    <row r="124" spans="2:10" s="121" customFormat="1" ht="3" customHeight="1" x14ac:dyDescent="0.2">
      <c r="B124" s="319"/>
      <c r="C124" s="319"/>
      <c r="D124" s="319"/>
      <c r="E124" s="319"/>
      <c r="F124" s="319"/>
      <c r="G124" s="319"/>
      <c r="H124" s="319"/>
      <c r="I124" s="319"/>
      <c r="J124" s="319"/>
    </row>
    <row r="125" spans="2:10" s="121" customFormat="1" ht="15" x14ac:dyDescent="0.2">
      <c r="B125" s="131" t="s">
        <v>0</v>
      </c>
      <c r="C125" s="132"/>
      <c r="D125" s="132"/>
      <c r="E125" s="132"/>
      <c r="F125" s="132"/>
      <c r="G125" s="132"/>
      <c r="H125" s="132"/>
      <c r="I125" s="132"/>
      <c r="J125" s="133"/>
    </row>
    <row r="126" spans="2:10" s="121" customFormat="1" ht="3" customHeight="1" x14ac:dyDescent="0.2">
      <c r="B126" s="134"/>
      <c r="C126" s="134"/>
      <c r="D126" s="134"/>
      <c r="E126" s="134"/>
      <c r="F126" s="134"/>
      <c r="G126" s="134"/>
      <c r="H126" s="134"/>
      <c r="I126" s="134"/>
      <c r="J126" s="317"/>
    </row>
    <row r="127" spans="2:10" s="121" customFormat="1" ht="15" x14ac:dyDescent="0.2">
      <c r="B127" s="136" t="s">
        <v>2</v>
      </c>
      <c r="C127" s="136"/>
      <c r="D127" s="136"/>
      <c r="E127" s="137" t="s">
        <v>4</v>
      </c>
      <c r="F127" s="138"/>
      <c r="G127" s="138" t="s">
        <v>6</v>
      </c>
      <c r="H127" s="138" t="s">
        <v>3</v>
      </c>
      <c r="I127" s="138" t="s">
        <v>9</v>
      </c>
      <c r="J127" s="137" t="s">
        <v>15</v>
      </c>
    </row>
    <row r="128" spans="2:10" s="121" customFormat="1" ht="3" customHeight="1" x14ac:dyDescent="0.2">
      <c r="B128" s="134"/>
      <c r="C128" s="134"/>
      <c r="D128" s="134"/>
      <c r="E128" s="134"/>
      <c r="F128" s="134"/>
      <c r="G128" s="134"/>
      <c r="H128" s="134"/>
      <c r="I128" s="134"/>
      <c r="J128" s="317"/>
    </row>
    <row r="129" spans="2:16" s="121" customFormat="1" ht="15" x14ac:dyDescent="0.2">
      <c r="B129" s="134" t="s">
        <v>30</v>
      </c>
      <c r="C129" s="134"/>
      <c r="D129" s="134"/>
      <c r="E129" s="317" t="s">
        <v>31</v>
      </c>
      <c r="F129" s="134"/>
      <c r="G129" s="141"/>
      <c r="H129" s="139" t="s">
        <v>134</v>
      </c>
      <c r="I129" s="139" t="s">
        <v>18</v>
      </c>
      <c r="J129" s="317"/>
    </row>
    <row r="130" spans="2:16" s="121" customFormat="1" ht="3" customHeight="1" x14ac:dyDescent="0.2">
      <c r="B130" s="134"/>
      <c r="C130" s="134"/>
      <c r="D130" s="134"/>
      <c r="E130" s="317"/>
      <c r="F130" s="134"/>
      <c r="G130" s="139"/>
      <c r="H130" s="139"/>
      <c r="I130" s="139"/>
      <c r="J130" s="317"/>
    </row>
    <row r="131" spans="2:16" s="121" customFormat="1" x14ac:dyDescent="0.2">
      <c r="B131" s="134" t="s">
        <v>32</v>
      </c>
      <c r="C131" s="134"/>
      <c r="D131" s="134"/>
      <c r="E131" s="320" t="s">
        <v>136</v>
      </c>
      <c r="F131" s="134"/>
      <c r="G131" s="139">
        <v>0.1</v>
      </c>
      <c r="H131" s="139" t="s">
        <v>5</v>
      </c>
      <c r="I131" s="148" t="str">
        <f>IF(Fprodvolreg_prof=0.1, "D", "S")</f>
        <v>D</v>
      </c>
      <c r="J131" s="317"/>
    </row>
    <row r="132" spans="2:16" s="121" customFormat="1" ht="3" customHeight="1" x14ac:dyDescent="0.2">
      <c r="B132" s="134"/>
      <c r="C132" s="134"/>
      <c r="D132" s="134"/>
      <c r="E132" s="320"/>
      <c r="F132" s="134"/>
      <c r="G132" s="139"/>
      <c r="H132" s="139"/>
      <c r="I132" s="139"/>
      <c r="J132" s="317"/>
    </row>
    <row r="133" spans="2:16" s="121" customFormat="1" ht="15" x14ac:dyDescent="0.2">
      <c r="B133" s="134" t="s">
        <v>139</v>
      </c>
      <c r="C133" s="134"/>
      <c r="D133" s="134"/>
      <c r="E133" s="320" t="s">
        <v>140</v>
      </c>
      <c r="F133" s="134"/>
      <c r="G133" s="227" t="str">
        <f>IF(ISNUMBER(TONNAGE_prof), TONNAGE_prof*Fprodvolreg_prof,"??")</f>
        <v>??</v>
      </c>
      <c r="H133" s="139" t="s">
        <v>134</v>
      </c>
      <c r="I133" s="139" t="s">
        <v>7</v>
      </c>
      <c r="J133" s="317" t="s">
        <v>141</v>
      </c>
    </row>
    <row r="134" spans="2:16" s="121" customFormat="1" ht="3" customHeight="1" x14ac:dyDescent="0.2">
      <c r="B134" s="134"/>
      <c r="C134" s="134"/>
      <c r="D134" s="134"/>
      <c r="E134" s="317"/>
      <c r="F134" s="134"/>
      <c r="G134" s="139"/>
      <c r="H134" s="139"/>
      <c r="I134" s="139"/>
      <c r="J134" s="317"/>
    </row>
    <row r="135" spans="2:16" s="121" customFormat="1" x14ac:dyDescent="0.2">
      <c r="B135" s="134" t="s">
        <v>133</v>
      </c>
      <c r="C135" s="134"/>
      <c r="D135" s="134"/>
      <c r="E135" s="317" t="s">
        <v>135</v>
      </c>
      <c r="F135" s="134"/>
      <c r="G135" s="139">
        <v>2E-3</v>
      </c>
      <c r="H135" s="139" t="s">
        <v>5</v>
      </c>
      <c r="I135" s="148" t="str">
        <f>IF(Fmainsource_prof=0.002, "D", "S")</f>
        <v>D</v>
      </c>
      <c r="J135" s="317"/>
    </row>
    <row r="136" spans="2:16" s="121" customFormat="1" ht="3" customHeight="1" x14ac:dyDescent="0.2">
      <c r="B136" s="134"/>
      <c r="C136" s="134"/>
      <c r="D136" s="134"/>
      <c r="E136" s="317"/>
      <c r="F136" s="134"/>
      <c r="G136" s="139"/>
      <c r="H136" s="139"/>
      <c r="I136" s="139"/>
      <c r="J136" s="317"/>
    </row>
    <row r="137" spans="2:16" s="121" customFormat="1" ht="31.5" customHeight="1" x14ac:dyDescent="0.2">
      <c r="B137" s="431" t="s">
        <v>142</v>
      </c>
      <c r="C137" s="431"/>
      <c r="D137" s="134"/>
      <c r="E137" s="320" t="s">
        <v>113</v>
      </c>
      <c r="F137" s="134"/>
      <c r="G137" s="139">
        <v>0</v>
      </c>
      <c r="H137" s="142" t="s">
        <v>5</v>
      </c>
      <c r="I137" s="148" t="str">
        <f>IF(Fdis_prof=0, "D", "S")</f>
        <v>D</v>
      </c>
      <c r="J137" s="317"/>
    </row>
    <row r="138" spans="2:16" s="121" customFormat="1" ht="3" customHeight="1" x14ac:dyDescent="0.2">
      <c r="B138" s="134"/>
      <c r="C138" s="134"/>
      <c r="D138" s="134"/>
      <c r="E138" s="317"/>
      <c r="F138" s="134"/>
      <c r="G138" s="139"/>
      <c r="H138" s="139"/>
      <c r="I138" s="139"/>
      <c r="J138" s="317"/>
    </row>
    <row r="139" spans="2:16" s="121" customFormat="1" ht="15" x14ac:dyDescent="0.2">
      <c r="B139" s="134" t="s">
        <v>389</v>
      </c>
      <c r="C139" s="134"/>
      <c r="D139" s="134"/>
      <c r="E139" s="317" t="s">
        <v>97</v>
      </c>
      <c r="F139" s="134"/>
      <c r="G139" s="139">
        <v>1</v>
      </c>
      <c r="H139" s="139" t="s">
        <v>5</v>
      </c>
      <c r="I139" s="148" t="str">
        <f>IF(Fwater_prof=1, "D", "S")</f>
        <v>D</v>
      </c>
      <c r="J139" s="317"/>
    </row>
    <row r="140" spans="2:16" s="121" customFormat="1" ht="3" customHeight="1" x14ac:dyDescent="0.2">
      <c r="B140" s="134"/>
      <c r="C140" s="134"/>
      <c r="D140" s="134"/>
      <c r="E140" s="317"/>
      <c r="F140" s="134"/>
      <c r="G140" s="139"/>
      <c r="H140" s="139"/>
      <c r="I140" s="139"/>
      <c r="J140" s="317"/>
    </row>
    <row r="141" spans="2:16" s="121" customFormat="1" ht="15" x14ac:dyDescent="0.2">
      <c r="B141" s="134" t="s">
        <v>560</v>
      </c>
      <c r="C141" s="134"/>
      <c r="D141" s="134"/>
      <c r="E141" s="317" t="s">
        <v>378</v>
      </c>
      <c r="F141" s="134"/>
      <c r="G141" s="158">
        <v>260</v>
      </c>
      <c r="H141" s="139" t="s">
        <v>651</v>
      </c>
      <c r="I141" s="148" t="str">
        <f>IF(Temission_prof=260, "D", "S")</f>
        <v>D</v>
      </c>
      <c r="J141" s="317"/>
    </row>
    <row r="142" spans="2:16" s="121" customFormat="1" ht="3" customHeight="1" x14ac:dyDescent="0.2">
      <c r="B142" s="134"/>
      <c r="C142" s="134"/>
      <c r="D142" s="134"/>
      <c r="E142" s="317"/>
      <c r="F142" s="134"/>
      <c r="G142" s="139"/>
      <c r="H142" s="139"/>
      <c r="I142" s="148"/>
      <c r="J142" s="317"/>
      <c r="M142" s="126"/>
      <c r="N142" s="126"/>
      <c r="O142" s="126"/>
      <c r="P142" s="126"/>
    </row>
    <row r="143" spans="2:16" s="121" customFormat="1" ht="15" x14ac:dyDescent="0.2">
      <c r="B143" s="131" t="s">
        <v>1</v>
      </c>
      <c r="C143" s="132"/>
      <c r="D143" s="132"/>
      <c r="E143" s="132"/>
      <c r="F143" s="132"/>
      <c r="G143" s="132"/>
      <c r="H143" s="132"/>
      <c r="I143" s="132"/>
      <c r="J143" s="133"/>
    </row>
    <row r="144" spans="2:16" s="121" customFormat="1" ht="3" customHeight="1" x14ac:dyDescent="0.2">
      <c r="B144" s="134"/>
      <c r="C144" s="134"/>
      <c r="D144" s="134"/>
      <c r="E144" s="134"/>
      <c r="F144" s="134"/>
      <c r="G144" s="134"/>
      <c r="H144" s="134"/>
      <c r="I144" s="134"/>
      <c r="J144" s="317"/>
    </row>
    <row r="145" spans="1:60" s="121" customFormat="1" ht="15" x14ac:dyDescent="0.2">
      <c r="B145" s="136" t="s">
        <v>2</v>
      </c>
      <c r="C145" s="136"/>
      <c r="D145" s="136"/>
      <c r="E145" s="137" t="s">
        <v>4</v>
      </c>
      <c r="F145" s="138"/>
      <c r="G145" s="138" t="s">
        <v>6</v>
      </c>
      <c r="H145" s="138" t="s">
        <v>3</v>
      </c>
      <c r="I145" s="138" t="s">
        <v>9</v>
      </c>
      <c r="J145" s="137" t="s">
        <v>15</v>
      </c>
    </row>
    <row r="146" spans="1:60" s="121" customFormat="1" ht="3" customHeight="1" x14ac:dyDescent="0.2">
      <c r="B146" s="136"/>
      <c r="C146" s="136"/>
      <c r="D146" s="136"/>
      <c r="E146" s="137"/>
      <c r="F146" s="138"/>
      <c r="G146" s="138"/>
      <c r="H146" s="138"/>
      <c r="I146" s="138"/>
      <c r="J146" s="137"/>
    </row>
    <row r="147" spans="1:60" s="121" customFormat="1" ht="27.75" x14ac:dyDescent="0.2">
      <c r="B147" s="161" t="s">
        <v>57</v>
      </c>
      <c r="C147" s="86"/>
      <c r="D147" s="134"/>
      <c r="E147" s="134" t="s">
        <v>44</v>
      </c>
      <c r="F147" s="134"/>
      <c r="G147" s="149" t="str">
        <f>IF(ISNUMBER(TONNAGEreg_prof),TONNAGEreg_prof*1000*Fmainsource_prof*(1-Fdis_prof)*Fwater_prof/Temission_prof,"??")</f>
        <v>??</v>
      </c>
      <c r="H147" s="139" t="s">
        <v>16</v>
      </c>
      <c r="I147" s="139" t="s">
        <v>7</v>
      </c>
      <c r="J147" s="318" t="s">
        <v>655</v>
      </c>
    </row>
    <row r="148" spans="1:60" s="121" customFormat="1" x14ac:dyDescent="0.2">
      <c r="B148" s="134"/>
      <c r="C148" s="134"/>
      <c r="D148" s="134"/>
      <c r="E148" s="134"/>
      <c r="F148" s="134"/>
      <c r="G148" s="134"/>
      <c r="H148" s="134"/>
      <c r="I148" s="134"/>
      <c r="J148" s="317"/>
    </row>
    <row r="149" spans="1:60" s="121" customFormat="1" x14ac:dyDescent="0.2">
      <c r="B149" s="143" t="s">
        <v>10</v>
      </c>
      <c r="J149" s="146"/>
    </row>
    <row r="150" spans="1:60" s="121" customFormat="1" x14ac:dyDescent="0.2">
      <c r="B150" s="438" t="s">
        <v>169</v>
      </c>
      <c r="C150" s="438"/>
      <c r="D150" s="438"/>
      <c r="E150" s="438"/>
      <c r="F150" s="438"/>
      <c r="G150" s="438"/>
      <c r="H150" s="438"/>
      <c r="I150" s="438"/>
      <c r="J150" s="438"/>
    </row>
    <row r="151" spans="1:60" s="121" customFormat="1" x14ac:dyDescent="0.2">
      <c r="B151" s="428" t="s">
        <v>390</v>
      </c>
      <c r="C151" s="428"/>
      <c r="D151" s="428"/>
      <c r="E151" s="428"/>
      <c r="F151" s="428"/>
      <c r="G151" s="428"/>
      <c r="H151" s="428"/>
      <c r="I151" s="428"/>
      <c r="J151" s="428"/>
    </row>
    <row r="152" spans="1:60" s="121" customFormat="1" ht="12.75" customHeight="1" x14ac:dyDescent="0.2">
      <c r="B152" s="428" t="s">
        <v>559</v>
      </c>
      <c r="C152" s="428"/>
      <c r="D152" s="428"/>
      <c r="E152" s="428"/>
      <c r="F152" s="428"/>
      <c r="G152" s="428"/>
      <c r="H152" s="428"/>
      <c r="I152" s="428"/>
      <c r="J152" s="428"/>
    </row>
    <row r="153" spans="1:60" s="121" customFormat="1" ht="12.75" customHeight="1" x14ac:dyDescent="0.2">
      <c r="B153" s="321"/>
      <c r="C153" s="321"/>
      <c r="D153" s="321"/>
      <c r="E153" s="321"/>
      <c r="F153" s="321"/>
      <c r="G153" s="321"/>
      <c r="H153" s="321"/>
      <c r="I153" s="321"/>
      <c r="J153" s="321"/>
    </row>
    <row r="154" spans="1:60" s="121" customFormat="1" ht="14.25" x14ac:dyDescent="0.2">
      <c r="B154" s="254" t="s">
        <v>422</v>
      </c>
      <c r="C154" s="319"/>
      <c r="D154" s="319"/>
      <c r="E154" s="319"/>
      <c r="F154" s="319"/>
      <c r="G154" s="319"/>
      <c r="H154" s="319"/>
      <c r="I154" s="319"/>
      <c r="J154" s="319"/>
    </row>
    <row r="155" spans="1:60" s="24" customFormat="1" ht="14.25" x14ac:dyDescent="0.2">
      <c r="B155" s="90"/>
      <c r="C155" s="90"/>
      <c r="D155" s="90"/>
      <c r="E155" s="90"/>
      <c r="F155" s="90"/>
      <c r="G155" s="90"/>
      <c r="H155" s="90"/>
      <c r="I155" s="90"/>
      <c r="J155" s="90"/>
    </row>
    <row r="156" spans="1:60" s="24" customFormat="1" ht="14.25" customHeight="1" x14ac:dyDescent="0.2">
      <c r="B156" s="432" t="s">
        <v>383</v>
      </c>
      <c r="C156" s="433"/>
      <c r="D156" s="433"/>
      <c r="E156" s="433"/>
      <c r="F156" s="433"/>
      <c r="G156" s="433"/>
      <c r="H156" s="433"/>
      <c r="I156" s="433"/>
      <c r="J156" s="433"/>
    </row>
    <row r="157" spans="1:60" s="24" customFormat="1" ht="14.25" x14ac:dyDescent="0.2">
      <c r="B157" s="90"/>
      <c r="C157" s="90"/>
      <c r="D157" s="90"/>
      <c r="E157" s="90"/>
      <c r="F157" s="90"/>
      <c r="G157" s="90"/>
      <c r="H157" s="90"/>
      <c r="I157" s="90"/>
      <c r="J157" s="90"/>
    </row>
    <row r="158" spans="1:60" s="24" customFormat="1" ht="18" x14ac:dyDescent="0.2">
      <c r="A158" s="22"/>
      <c r="B158" s="448" t="s">
        <v>130</v>
      </c>
      <c r="C158" s="448"/>
      <c r="D158" s="448"/>
      <c r="E158" s="448"/>
      <c r="F158" s="448"/>
      <c r="G158" s="448"/>
      <c r="H158" s="448"/>
      <c r="I158" s="448"/>
      <c r="J158" s="448"/>
      <c r="BG158" s="25"/>
      <c r="BH158" s="25"/>
    </row>
    <row r="159" spans="1:60" s="24" customFormat="1" x14ac:dyDescent="0.2">
      <c r="A159" s="22"/>
      <c r="B159" s="22"/>
      <c r="C159" s="22"/>
      <c r="D159" s="22"/>
      <c r="E159" s="22"/>
      <c r="F159" s="22"/>
      <c r="G159" s="22"/>
      <c r="H159" s="35"/>
      <c r="I159" s="22"/>
      <c r="J159" s="22"/>
      <c r="BG159" s="25"/>
      <c r="BH159" s="25"/>
    </row>
    <row r="160" spans="1:60" s="24" customFormat="1" ht="15" x14ac:dyDescent="0.2">
      <c r="A160" s="22"/>
      <c r="B160" s="99" t="s">
        <v>648</v>
      </c>
      <c r="C160" s="22"/>
      <c r="D160" s="22"/>
      <c r="E160" s="22"/>
      <c r="F160" s="22"/>
      <c r="G160" s="22"/>
      <c r="H160" s="35"/>
      <c r="I160" s="22"/>
      <c r="J160" s="22"/>
      <c r="BG160" s="25"/>
      <c r="BH160" s="25"/>
    </row>
    <row r="161" spans="1:60" s="24" customFormat="1" ht="3" customHeight="1" x14ac:dyDescent="0.2">
      <c r="A161" s="22"/>
      <c r="B161" s="22"/>
      <c r="C161" s="22"/>
      <c r="D161" s="22"/>
      <c r="E161" s="22"/>
      <c r="F161" s="22"/>
      <c r="G161" s="22"/>
      <c r="H161" s="35"/>
      <c r="I161" s="22"/>
      <c r="J161" s="22"/>
      <c r="BG161" s="25"/>
      <c r="BH161" s="25"/>
    </row>
    <row r="162" spans="1:60" x14ac:dyDescent="0.2">
      <c r="B162" s="38" t="s">
        <v>8</v>
      </c>
      <c r="C162" s="49"/>
      <c r="D162" s="49"/>
      <c r="E162" s="49"/>
      <c r="F162" s="49"/>
      <c r="G162" s="49"/>
      <c r="H162" s="49"/>
      <c r="I162" s="49"/>
      <c r="J162" s="64"/>
      <c r="K162" s="24"/>
      <c r="L162" s="24"/>
      <c r="M162" s="24"/>
      <c r="N162" s="24"/>
      <c r="O162" s="24"/>
      <c r="P162" s="24"/>
    </row>
    <row r="163" spans="1:60" s="24" customFormat="1" x14ac:dyDescent="0.2">
      <c r="B163" s="126" t="s">
        <v>146</v>
      </c>
      <c r="C163" s="126"/>
      <c r="D163" s="126"/>
      <c r="E163" s="126"/>
      <c r="F163" s="126"/>
      <c r="G163" s="126"/>
      <c r="H163" s="126"/>
      <c r="I163" s="126"/>
      <c r="J163" s="103"/>
    </row>
    <row r="164" spans="1:60" s="24" customFormat="1" x14ac:dyDescent="0.2">
      <c r="B164" s="126" t="s">
        <v>144</v>
      </c>
      <c r="C164" s="126"/>
      <c r="D164" s="126"/>
      <c r="E164" s="126"/>
      <c r="F164" s="126"/>
      <c r="G164" s="126"/>
      <c r="H164" s="126"/>
      <c r="I164" s="126"/>
      <c r="J164" s="103"/>
    </row>
    <row r="165" spans="1:60" s="24" customFormat="1" ht="27" customHeight="1" x14ac:dyDescent="0.2">
      <c r="B165" s="449" t="s">
        <v>145</v>
      </c>
      <c r="C165" s="449"/>
      <c r="D165" s="449"/>
      <c r="E165" s="449"/>
      <c r="F165" s="449"/>
      <c r="G165" s="449"/>
      <c r="H165" s="449"/>
      <c r="I165" s="449"/>
      <c r="J165" s="449"/>
    </row>
    <row r="166" spans="1:60" s="24" customFormat="1" x14ac:dyDescent="0.2">
      <c r="B166" s="126" t="s">
        <v>147</v>
      </c>
      <c r="C166" s="126"/>
      <c r="D166" s="126"/>
      <c r="E166" s="126"/>
      <c r="F166" s="126"/>
      <c r="G166" s="126"/>
      <c r="H166" s="126"/>
      <c r="I166" s="126"/>
      <c r="J166" s="103"/>
    </row>
    <row r="167" spans="1:60" s="24" customFormat="1" ht="3" customHeight="1" x14ac:dyDescent="0.2">
      <c r="B167" s="65"/>
      <c r="J167" s="60"/>
    </row>
    <row r="168" spans="1:60" s="24" customFormat="1" ht="15" x14ac:dyDescent="0.2">
      <c r="B168" s="27" t="s">
        <v>0</v>
      </c>
      <c r="C168" s="39"/>
      <c r="D168" s="39"/>
      <c r="E168" s="39"/>
      <c r="F168" s="39"/>
      <c r="G168" s="39"/>
      <c r="H168" s="39"/>
      <c r="I168" s="39"/>
      <c r="J168" s="40"/>
      <c r="K168" s="66"/>
    </row>
    <row r="169" spans="1:60" s="24" customFormat="1" ht="3" customHeight="1" x14ac:dyDescent="0.2">
      <c r="B169" s="33"/>
      <c r="C169" s="33"/>
      <c r="D169" s="33"/>
      <c r="E169" s="33"/>
      <c r="F169" s="33"/>
      <c r="G169" s="33"/>
      <c r="H169" s="33"/>
      <c r="I169" s="33"/>
      <c r="J169" s="96"/>
    </row>
    <row r="170" spans="1:60" s="24" customFormat="1" ht="15" x14ac:dyDescent="0.2">
      <c r="B170" s="41" t="s">
        <v>2</v>
      </c>
      <c r="C170" s="41"/>
      <c r="D170" s="41"/>
      <c r="E170" s="42" t="s">
        <v>4</v>
      </c>
      <c r="F170" s="29"/>
      <c r="G170" s="29" t="s">
        <v>6</v>
      </c>
      <c r="H170" s="29" t="s">
        <v>3</v>
      </c>
      <c r="I170" s="29" t="s">
        <v>9</v>
      </c>
      <c r="J170" s="42" t="s">
        <v>15</v>
      </c>
    </row>
    <row r="171" spans="1:60" s="24" customFormat="1" ht="3" customHeight="1" x14ac:dyDescent="0.2">
      <c r="B171" s="33"/>
      <c r="C171" s="33"/>
      <c r="D171" s="33"/>
      <c r="E171" s="33"/>
      <c r="F171" s="33"/>
      <c r="G171" s="33"/>
      <c r="H171" s="33"/>
      <c r="I171" s="33"/>
      <c r="J171" s="96"/>
    </row>
    <row r="172" spans="1:60" s="24" customFormat="1" x14ac:dyDescent="0.2">
      <c r="B172" s="33" t="s">
        <v>34</v>
      </c>
      <c r="C172" s="33"/>
      <c r="D172" s="33"/>
      <c r="E172" s="97" t="s">
        <v>96</v>
      </c>
      <c r="F172" s="33"/>
      <c r="G172" s="28">
        <v>10000</v>
      </c>
      <c r="H172" s="28" t="s">
        <v>5</v>
      </c>
      <c r="I172" s="47" t="str">
        <f>IF(Nlocal_priv=10000, "D", "S")</f>
        <v>D</v>
      </c>
      <c r="J172" s="96"/>
      <c r="N172" s="62"/>
    </row>
    <row r="173" spans="1:60" s="24" customFormat="1" ht="3" customHeight="1" x14ac:dyDescent="0.2">
      <c r="B173" s="33"/>
      <c r="C173" s="33"/>
      <c r="D173" s="33"/>
      <c r="E173" s="97"/>
      <c r="F173" s="33"/>
      <c r="G173" s="28"/>
      <c r="H173" s="28"/>
      <c r="I173" s="28"/>
      <c r="J173" s="96"/>
    </row>
    <row r="174" spans="1:60" s="24" customFormat="1" x14ac:dyDescent="0.2">
      <c r="B174" s="33" t="s">
        <v>29</v>
      </c>
      <c r="C174" s="33"/>
      <c r="D174" s="33"/>
      <c r="E174" s="97" t="s">
        <v>97</v>
      </c>
      <c r="F174" s="33"/>
      <c r="G174" s="28">
        <v>1</v>
      </c>
      <c r="H174" s="28" t="s">
        <v>5</v>
      </c>
      <c r="I174" s="47" t="str">
        <f>IF(Fwater_priv=1, "D", "S")</f>
        <v>D</v>
      </c>
      <c r="J174" s="96"/>
    </row>
    <row r="175" spans="1:60" s="24" customFormat="1" ht="3" customHeight="1" thickBot="1" x14ac:dyDescent="0.25">
      <c r="B175" s="33"/>
      <c r="C175" s="33"/>
      <c r="D175" s="33"/>
      <c r="E175" s="97"/>
      <c r="F175" s="33"/>
      <c r="G175" s="28"/>
      <c r="H175" s="28"/>
      <c r="I175" s="28"/>
      <c r="J175" s="96"/>
    </row>
    <row r="176" spans="1:60" s="24" customFormat="1" ht="27" thickTop="1" thickBot="1" x14ac:dyDescent="0.25">
      <c r="B176" s="30" t="s">
        <v>35</v>
      </c>
      <c r="C176" s="67" t="s">
        <v>36</v>
      </c>
      <c r="D176" s="33"/>
      <c r="E176" s="100" t="str">
        <f>IF(C176='Pick-lists &amp; Defaults'!B53,"Cform_volume",IF(C176='Pick-lists &amp; Defaults'!B54,"Cform_weight",""))</f>
        <v/>
      </c>
      <c r="F176" s="33"/>
      <c r="G176" s="31"/>
      <c r="H176" s="47" t="str">
        <f>IF(E176="Cform_volume","g/l",IF(E176="Cform_weight","g/kg",""))</f>
        <v/>
      </c>
      <c r="I176" s="28" t="s">
        <v>18</v>
      </c>
      <c r="J176" s="87"/>
    </row>
    <row r="177" spans="2:16" s="24" customFormat="1" ht="3" customHeight="1" thickTop="1" thickBot="1" x14ac:dyDescent="0.25">
      <c r="B177" s="33"/>
      <c r="C177" s="33"/>
      <c r="D177" s="33"/>
      <c r="E177" s="97"/>
      <c r="F177" s="33"/>
      <c r="G177" s="28"/>
      <c r="H177" s="28"/>
      <c r="I177" s="28"/>
      <c r="J177" s="96"/>
    </row>
    <row r="178" spans="2:16" s="24" customFormat="1" ht="33" thickTop="1" thickBot="1" x14ac:dyDescent="0.25">
      <c r="B178" s="33" t="s">
        <v>37</v>
      </c>
      <c r="C178" s="67" t="s">
        <v>38</v>
      </c>
      <c r="D178" s="33"/>
      <c r="E178" s="100" t="str">
        <f>IF(C178='Pick-lists &amp; Defaults'!B59,"Vform_inh",IF(C178='Pick-lists &amp; Defaults'!B60,"Qform_inh",IF(C178='Pick-lists &amp; Defaults'!B61,"Vform_appl",IF(C178='Pick-lists &amp; Defaults'!B62,"Qform_appl",""))))</f>
        <v/>
      </c>
      <c r="F178" s="33"/>
      <c r="G178" s="36" t="str">
        <f>INDEX('Pick-lists &amp; Defaults'!C58:C62,MATCH(C178,Consumption,0))</f>
        <v>??</v>
      </c>
      <c r="H178" s="47" t="str">
        <f>IF(E178="Vform_inh","ml/d",IF(E178="Qform_inh","g/d",IF(E178="Vform_appl","ml",IF(E178="Qform_appl","g",""))))</f>
        <v/>
      </c>
      <c r="I178" s="28" t="s">
        <v>17</v>
      </c>
      <c r="J178" s="315"/>
    </row>
    <row r="179" spans="2:16" s="24" customFormat="1" ht="3" customHeight="1" thickTop="1" x14ac:dyDescent="0.2">
      <c r="B179" s="33"/>
      <c r="C179" s="33"/>
      <c r="D179" s="33"/>
      <c r="E179" s="97"/>
      <c r="F179" s="33"/>
      <c r="G179" s="28"/>
      <c r="H179" s="28"/>
      <c r="I179" s="28"/>
      <c r="J179" s="96"/>
    </row>
    <row r="180" spans="2:16" s="24" customFormat="1" ht="15" x14ac:dyDescent="0.2">
      <c r="B180" s="33" t="s">
        <v>39</v>
      </c>
      <c r="C180" s="33"/>
      <c r="D180" s="33"/>
      <c r="E180" s="97" t="s">
        <v>98</v>
      </c>
      <c r="F180" s="33"/>
      <c r="G180" s="28">
        <v>3</v>
      </c>
      <c r="H180" s="28" t="s">
        <v>22</v>
      </c>
      <c r="I180" s="47" t="str">
        <f>IF(Nappl_priv=3, "D", "S")</f>
        <v>D</v>
      </c>
      <c r="J180" s="51"/>
      <c r="M180" s="44"/>
      <c r="N180" s="44"/>
      <c r="O180" s="44"/>
      <c r="P180" s="44"/>
    </row>
    <row r="181" spans="2:16" s="24" customFormat="1" ht="3" customHeight="1" x14ac:dyDescent="0.2">
      <c r="B181" s="33"/>
      <c r="C181" s="33"/>
      <c r="D181" s="33"/>
      <c r="E181" s="97"/>
      <c r="F181" s="33"/>
      <c r="G181" s="28"/>
      <c r="H181" s="28"/>
      <c r="I181" s="28"/>
      <c r="J181" s="51"/>
      <c r="M181" s="44"/>
      <c r="N181" s="44"/>
      <c r="O181" s="44"/>
      <c r="P181" s="44"/>
    </row>
    <row r="182" spans="2:16" s="24" customFormat="1" x14ac:dyDescent="0.2">
      <c r="B182" s="33" t="s">
        <v>40</v>
      </c>
      <c r="C182" s="33"/>
      <c r="D182" s="33"/>
      <c r="E182" s="97" t="s">
        <v>99</v>
      </c>
      <c r="F182" s="33"/>
      <c r="G182" s="28">
        <v>0.05</v>
      </c>
      <c r="H182" s="28" t="s">
        <v>5</v>
      </c>
      <c r="I182" s="47" t="str">
        <f>IF(Finh=0.05, "D", "S")</f>
        <v>D</v>
      </c>
      <c r="J182" s="51"/>
      <c r="M182" s="44"/>
      <c r="N182" s="44"/>
      <c r="O182" s="44"/>
      <c r="P182" s="44"/>
    </row>
    <row r="183" spans="2:16" s="24" customFormat="1" ht="3" customHeight="1" x14ac:dyDescent="0.2">
      <c r="B183" s="33"/>
      <c r="C183" s="33"/>
      <c r="D183" s="33"/>
      <c r="E183" s="97"/>
      <c r="F183" s="33"/>
      <c r="G183" s="28"/>
      <c r="H183" s="28"/>
      <c r="I183" s="28"/>
      <c r="J183" s="51"/>
      <c r="M183" s="44"/>
      <c r="N183" s="44"/>
      <c r="O183" s="44"/>
      <c r="P183" s="44"/>
    </row>
    <row r="184" spans="2:16" s="24" customFormat="1" ht="15" x14ac:dyDescent="0.2">
      <c r="B184" s="33" t="s">
        <v>92</v>
      </c>
      <c r="C184" s="33"/>
      <c r="D184" s="33"/>
      <c r="E184" s="97" t="s">
        <v>100</v>
      </c>
      <c r="F184" s="33"/>
      <c r="G184" s="28">
        <v>0.5</v>
      </c>
      <c r="H184" s="28" t="s">
        <v>5</v>
      </c>
      <c r="I184" s="47" t="str">
        <f>IF(Fpenetr_priv=0.5, "D", "S")</f>
        <v>D</v>
      </c>
      <c r="J184" s="51"/>
      <c r="M184" s="44"/>
      <c r="N184" s="44"/>
      <c r="O184" s="44"/>
      <c r="P184" s="44"/>
    </row>
    <row r="185" spans="2:16" s="24" customFormat="1" ht="3" customHeight="1" x14ac:dyDescent="0.2">
      <c r="B185" s="33"/>
      <c r="C185" s="33"/>
      <c r="D185" s="33"/>
      <c r="E185" s="97"/>
      <c r="F185" s="33"/>
      <c r="G185" s="28"/>
      <c r="H185" s="28"/>
      <c r="I185" s="28"/>
      <c r="J185" s="51"/>
      <c r="M185" s="44"/>
      <c r="N185" s="44"/>
      <c r="O185" s="44"/>
      <c r="P185" s="44"/>
    </row>
    <row r="186" spans="2:16" s="24" customFormat="1" ht="15" x14ac:dyDescent="0.2">
      <c r="B186" s="33" t="s">
        <v>41</v>
      </c>
      <c r="C186" s="33"/>
      <c r="D186" s="33"/>
      <c r="E186" s="97" t="s">
        <v>42</v>
      </c>
      <c r="F186" s="33"/>
      <c r="G186" s="28">
        <v>1000</v>
      </c>
      <c r="H186" s="28" t="s">
        <v>43</v>
      </c>
      <c r="I186" s="47" t="str">
        <f>IF(G186=1000, "D", "S")</f>
        <v>D</v>
      </c>
      <c r="J186" s="51"/>
      <c r="M186" s="44"/>
      <c r="N186" s="44"/>
      <c r="O186" s="44"/>
      <c r="P186" s="44"/>
    </row>
    <row r="187" spans="2:16" s="24" customFormat="1" ht="3" customHeight="1" x14ac:dyDescent="0.2">
      <c r="B187" s="33"/>
      <c r="C187" s="33"/>
      <c r="D187" s="33"/>
      <c r="E187" s="33"/>
      <c r="F187" s="33"/>
      <c r="G187" s="33"/>
      <c r="H187" s="33"/>
      <c r="I187" s="33"/>
      <c r="J187" s="51"/>
      <c r="M187" s="44"/>
      <c r="N187" s="44"/>
      <c r="O187" s="44"/>
      <c r="P187" s="44"/>
    </row>
    <row r="188" spans="2:16" s="24" customFormat="1" ht="15" x14ac:dyDescent="0.2">
      <c r="B188" s="27" t="s">
        <v>1</v>
      </c>
      <c r="C188" s="39"/>
      <c r="D188" s="39"/>
      <c r="E188" s="39"/>
      <c r="F188" s="39"/>
      <c r="G188" s="39"/>
      <c r="H188" s="39"/>
      <c r="I188" s="39"/>
      <c r="J188" s="40"/>
      <c r="K188" s="66"/>
      <c r="M188" s="44"/>
      <c r="N188" s="44"/>
      <c r="O188" s="44"/>
      <c r="P188" s="44"/>
    </row>
    <row r="189" spans="2:16" s="24" customFormat="1" ht="3" customHeight="1" x14ac:dyDescent="0.2">
      <c r="B189" s="33"/>
      <c r="C189" s="33"/>
      <c r="D189" s="33"/>
      <c r="E189" s="33"/>
      <c r="F189" s="33"/>
      <c r="G189" s="33"/>
      <c r="H189" s="33"/>
      <c r="I189" s="33"/>
      <c r="J189" s="51"/>
      <c r="M189" s="44"/>
      <c r="N189" s="44"/>
      <c r="O189" s="44"/>
      <c r="P189" s="44"/>
    </row>
    <row r="190" spans="2:16" s="24" customFormat="1" ht="15" x14ac:dyDescent="0.2">
      <c r="B190" s="41" t="s">
        <v>2</v>
      </c>
      <c r="C190" s="41"/>
      <c r="D190" s="41"/>
      <c r="E190" s="42" t="s">
        <v>4</v>
      </c>
      <c r="F190" s="29"/>
      <c r="G190" s="29" t="s">
        <v>6</v>
      </c>
      <c r="H190" s="29" t="s">
        <v>3</v>
      </c>
      <c r="I190" s="29" t="s">
        <v>9</v>
      </c>
      <c r="J190" s="42" t="s">
        <v>15</v>
      </c>
      <c r="M190" s="44"/>
      <c r="N190" s="44"/>
      <c r="O190" s="44"/>
      <c r="P190" s="44"/>
    </row>
    <row r="191" spans="2:16" s="24" customFormat="1" ht="3" customHeight="1" x14ac:dyDescent="0.2">
      <c r="B191" s="41"/>
      <c r="C191" s="41"/>
      <c r="D191" s="41"/>
      <c r="E191" s="42"/>
      <c r="F191" s="29"/>
      <c r="G191" s="29"/>
      <c r="H191" s="29"/>
      <c r="I191" s="29"/>
      <c r="J191" s="42"/>
      <c r="M191" s="44"/>
      <c r="N191" s="44"/>
      <c r="O191" s="44"/>
      <c r="P191" s="44"/>
    </row>
    <row r="192" spans="2:16" s="24" customFormat="1" ht="15" x14ac:dyDescent="0.2">
      <c r="B192" s="58" t="s">
        <v>57</v>
      </c>
      <c r="C192" s="86"/>
      <c r="D192" s="33"/>
      <c r="E192" s="33" t="s">
        <v>44</v>
      </c>
      <c r="F192" s="33"/>
      <c r="G192" s="37" t="str">
        <f>IF(OR(C176='Pick-lists &amp; Defaults'!B52,C178='Pick-lists &amp; Defaults'!B58),"??",IF(AND(ISNUMBER(active_subst),ISNUMBER(consumpt)),Nlocal_priv*Fwater_priv*consumpt*active_subst*Fpenetr_priv*0.000001*(IF(OR(E178="Vform_appl",E178="Qform_appl"),Finh*Nappl_priv,1))*(IF(AND(E176="Cform_weight",OR(E178="Vform_appl",E178="Vform_inh")),RHOform_priv*0.001,IF(AND(E176="Cform_volume",OR(E178="Qform_appl",E178="Qform_inh")),1000/RHOform_priv,1))),"??"))</f>
        <v>??</v>
      </c>
      <c r="H192" s="28" t="s">
        <v>16</v>
      </c>
      <c r="I192" s="28" t="s">
        <v>7</v>
      </c>
      <c r="J192" s="43" t="s">
        <v>45</v>
      </c>
      <c r="M192" s="44"/>
      <c r="N192" s="44"/>
      <c r="O192" s="44"/>
      <c r="P192" s="44"/>
    </row>
    <row r="193" spans="2:16" s="24" customFormat="1" x14ac:dyDescent="0.2">
      <c r="B193" s="33"/>
      <c r="C193" s="33"/>
      <c r="D193" s="33"/>
      <c r="E193" s="33"/>
      <c r="F193" s="33"/>
      <c r="G193" s="33"/>
      <c r="H193" s="33"/>
      <c r="I193" s="33"/>
      <c r="J193" s="51"/>
      <c r="M193" s="44"/>
      <c r="N193" s="44"/>
      <c r="O193" s="44"/>
      <c r="P193" s="44"/>
    </row>
    <row r="194" spans="2:16" s="24" customFormat="1" x14ac:dyDescent="0.2">
      <c r="B194" s="45" t="s">
        <v>10</v>
      </c>
      <c r="J194" s="60"/>
    </row>
    <row r="195" spans="2:16" s="121" customFormat="1" ht="29.25" customHeight="1" x14ac:dyDescent="0.2">
      <c r="B195" s="438" t="s">
        <v>543</v>
      </c>
      <c r="C195" s="438"/>
      <c r="D195" s="438"/>
      <c r="E195" s="438"/>
      <c r="F195" s="438"/>
      <c r="G195" s="438"/>
      <c r="H195" s="438"/>
      <c r="I195" s="438"/>
      <c r="J195" s="438"/>
      <c r="K195" s="140"/>
    </row>
    <row r="196" spans="2:16" s="24" customFormat="1" x14ac:dyDescent="0.2">
      <c r="B196" s="45"/>
      <c r="J196" s="60"/>
    </row>
    <row r="197" spans="2:16" s="24" customFormat="1" x14ac:dyDescent="0.2">
      <c r="B197" s="68"/>
      <c r="C197" s="69"/>
      <c r="D197" s="69"/>
      <c r="E197" s="69"/>
      <c r="F197" s="69"/>
      <c r="G197" s="70"/>
      <c r="J197" s="60"/>
    </row>
    <row r="198" spans="2:16" s="24" customFormat="1" ht="14.25" x14ac:dyDescent="0.2">
      <c r="B198" s="71" t="s">
        <v>46</v>
      </c>
      <c r="C198" s="22"/>
      <c r="D198" s="22"/>
      <c r="E198" s="22"/>
      <c r="F198" s="22"/>
      <c r="G198" s="72"/>
      <c r="J198" s="60"/>
    </row>
    <row r="199" spans="2:16" s="24" customFormat="1" ht="14.25" x14ac:dyDescent="0.2">
      <c r="B199" s="73"/>
      <c r="C199" s="22"/>
      <c r="D199" s="22"/>
      <c r="E199" s="22"/>
      <c r="F199" s="22"/>
      <c r="G199" s="74"/>
      <c r="J199" s="60"/>
    </row>
    <row r="200" spans="2:16" s="24" customFormat="1" ht="20.100000000000001" customHeight="1" x14ac:dyDescent="0.2">
      <c r="B200" s="75" t="s">
        <v>101</v>
      </c>
      <c r="C200" s="22"/>
      <c r="D200" s="22"/>
      <c r="E200" s="76"/>
      <c r="F200" s="22"/>
      <c r="G200" s="72"/>
      <c r="J200" s="60"/>
    </row>
    <row r="201" spans="2:16" s="24" customFormat="1" ht="20.100000000000001" customHeight="1" x14ac:dyDescent="0.2">
      <c r="B201" s="75" t="s">
        <v>102</v>
      </c>
      <c r="C201" s="22"/>
      <c r="D201" s="22"/>
      <c r="E201" s="22"/>
      <c r="F201" s="22"/>
      <c r="G201" s="72"/>
      <c r="J201" s="60"/>
    </row>
    <row r="202" spans="2:16" s="24" customFormat="1" ht="20.100000000000001" customHeight="1" x14ac:dyDescent="0.2">
      <c r="B202" s="75" t="s">
        <v>103</v>
      </c>
      <c r="C202" s="22"/>
      <c r="D202" s="22"/>
      <c r="E202" s="22"/>
      <c r="F202" s="22"/>
      <c r="G202" s="72"/>
      <c r="J202" s="60"/>
    </row>
    <row r="203" spans="2:16" s="24" customFormat="1" ht="20.100000000000001" customHeight="1" x14ac:dyDescent="0.2">
      <c r="B203" s="75" t="s">
        <v>104</v>
      </c>
      <c r="C203" s="22"/>
      <c r="D203" s="22"/>
      <c r="E203" s="22"/>
      <c r="F203" s="22"/>
      <c r="G203" s="72"/>
      <c r="J203" s="60"/>
    </row>
    <row r="204" spans="2:16" s="24" customFormat="1" ht="20.100000000000001" customHeight="1" x14ac:dyDescent="0.2">
      <c r="B204" s="75" t="s">
        <v>105</v>
      </c>
      <c r="C204" s="22"/>
      <c r="D204" s="22"/>
      <c r="E204" s="22"/>
      <c r="F204" s="22"/>
      <c r="G204" s="72"/>
      <c r="J204" s="60"/>
    </row>
    <row r="205" spans="2:16" s="24" customFormat="1" ht="20.100000000000001" customHeight="1" x14ac:dyDescent="0.2">
      <c r="B205" s="75" t="s">
        <v>106</v>
      </c>
      <c r="C205" s="22"/>
      <c r="D205" s="22"/>
      <c r="E205" s="22"/>
      <c r="F205" s="22"/>
      <c r="G205" s="72"/>
      <c r="J205" s="60"/>
    </row>
    <row r="206" spans="2:16" s="24" customFormat="1" ht="20.100000000000001" customHeight="1" x14ac:dyDescent="0.2">
      <c r="B206" s="75" t="s">
        <v>107</v>
      </c>
      <c r="C206" s="22"/>
      <c r="D206" s="22"/>
      <c r="E206" s="22"/>
      <c r="F206" s="22"/>
      <c r="G206" s="72"/>
      <c r="J206" s="60"/>
    </row>
    <row r="207" spans="2:16" s="24" customFormat="1" ht="20.100000000000001" customHeight="1" x14ac:dyDescent="0.2">
      <c r="B207" s="75" t="s">
        <v>108</v>
      </c>
      <c r="C207" s="22"/>
      <c r="D207" s="22"/>
      <c r="E207" s="22"/>
      <c r="F207" s="22"/>
      <c r="G207" s="72"/>
      <c r="J207" s="60"/>
    </row>
    <row r="208" spans="2:16" s="24" customFormat="1" x14ac:dyDescent="0.2">
      <c r="B208" s="77"/>
      <c r="C208" s="78"/>
      <c r="D208" s="78"/>
      <c r="E208" s="78"/>
      <c r="F208" s="78"/>
      <c r="G208" s="79"/>
      <c r="J208" s="60"/>
    </row>
    <row r="209" spans="1:60" s="24" customFormat="1" x14ac:dyDescent="0.2">
      <c r="J209" s="60"/>
    </row>
    <row r="210" spans="1:60" s="121" customFormat="1" ht="14.25" x14ac:dyDescent="0.2">
      <c r="B210" s="254" t="s">
        <v>422</v>
      </c>
      <c r="C210" s="232"/>
      <c r="D210" s="232"/>
      <c r="E210" s="232"/>
      <c r="F210" s="232"/>
      <c r="G210" s="232"/>
      <c r="H210" s="232"/>
      <c r="I210" s="232"/>
      <c r="J210" s="232"/>
    </row>
    <row r="211" spans="1:60" s="24" customFormat="1" x14ac:dyDescent="0.2">
      <c r="J211" s="60"/>
    </row>
    <row r="212" spans="1:60" s="24" customFormat="1" ht="34.5" customHeight="1" x14ac:dyDescent="0.2">
      <c r="B212" s="437" t="s">
        <v>131</v>
      </c>
      <c r="C212" s="437"/>
      <c r="D212" s="437"/>
      <c r="E212" s="437"/>
      <c r="F212" s="437"/>
      <c r="G212" s="437"/>
      <c r="H212" s="437"/>
      <c r="I212" s="437"/>
      <c r="J212" s="437"/>
    </row>
    <row r="213" spans="1:60" s="24" customFormat="1" x14ac:dyDescent="0.2">
      <c r="J213" s="60"/>
    </row>
    <row r="214" spans="1:60" s="24" customFormat="1" ht="31.5" customHeight="1" x14ac:dyDescent="0.2">
      <c r="A214" s="22"/>
      <c r="B214" s="425" t="s">
        <v>561</v>
      </c>
      <c r="C214" s="425"/>
      <c r="D214" s="425"/>
      <c r="E214" s="425"/>
      <c r="F214" s="425"/>
      <c r="G214" s="425"/>
      <c r="H214" s="425"/>
      <c r="I214" s="425"/>
      <c r="J214" s="425"/>
      <c r="BG214" s="25"/>
      <c r="BH214" s="25"/>
    </row>
    <row r="215" spans="1:60" s="24" customFormat="1" ht="3" customHeight="1" x14ac:dyDescent="0.2">
      <c r="A215" s="22"/>
      <c r="B215" s="22"/>
      <c r="C215" s="22"/>
      <c r="D215" s="22"/>
      <c r="E215" s="22"/>
      <c r="F215" s="22"/>
      <c r="G215" s="22"/>
      <c r="H215" s="35"/>
      <c r="I215" s="22"/>
      <c r="J215" s="22"/>
      <c r="BG215" s="25"/>
      <c r="BH215" s="25"/>
    </row>
    <row r="216" spans="1:60" x14ac:dyDescent="0.2">
      <c r="B216" s="38" t="s">
        <v>8</v>
      </c>
      <c r="C216" s="49"/>
      <c r="D216" s="49"/>
      <c r="E216" s="49"/>
      <c r="F216" s="49"/>
      <c r="G216" s="49"/>
      <c r="H216" s="49"/>
      <c r="I216" s="49"/>
      <c r="J216" s="64"/>
      <c r="K216" s="24"/>
      <c r="L216" s="24"/>
      <c r="M216" s="24"/>
      <c r="N216" s="24"/>
      <c r="O216" s="24"/>
      <c r="P216" s="24"/>
    </row>
    <row r="217" spans="1:60" s="24" customFormat="1" x14ac:dyDescent="0.2">
      <c r="B217" s="126" t="s">
        <v>149</v>
      </c>
      <c r="C217" s="62"/>
      <c r="D217" s="62"/>
      <c r="E217" s="62"/>
      <c r="F217" s="62"/>
      <c r="G217" s="62"/>
      <c r="H217" s="62"/>
      <c r="I217" s="62"/>
      <c r="J217" s="84"/>
    </row>
    <row r="218" spans="1:60" s="24" customFormat="1" x14ac:dyDescent="0.2">
      <c r="B218" s="126" t="s">
        <v>150</v>
      </c>
      <c r="C218" s="62"/>
      <c r="D218" s="62"/>
      <c r="E218" s="62"/>
      <c r="F218" s="62"/>
      <c r="G218" s="62"/>
      <c r="H218" s="62"/>
      <c r="I218" s="62"/>
      <c r="J218" s="84"/>
    </row>
    <row r="219" spans="1:60" s="24" customFormat="1" ht="3" customHeight="1" x14ac:dyDescent="0.2">
      <c r="B219" s="65"/>
      <c r="J219" s="60"/>
    </row>
    <row r="220" spans="1:60" s="24" customFormat="1" ht="15" x14ac:dyDescent="0.2">
      <c r="B220" s="27" t="s">
        <v>0</v>
      </c>
      <c r="C220" s="39"/>
      <c r="D220" s="39"/>
      <c r="E220" s="39"/>
      <c r="F220" s="39"/>
      <c r="G220" s="39"/>
      <c r="H220" s="39"/>
      <c r="I220" s="39"/>
      <c r="J220" s="40"/>
      <c r="K220" s="66"/>
    </row>
    <row r="221" spans="1:60" s="24" customFormat="1" ht="3" customHeight="1" x14ac:dyDescent="0.2">
      <c r="B221" s="33"/>
      <c r="C221" s="33"/>
      <c r="D221" s="33"/>
      <c r="E221" s="33"/>
      <c r="F221" s="33"/>
      <c r="G221" s="33"/>
      <c r="H221" s="33"/>
      <c r="I221" s="33"/>
      <c r="J221" s="51"/>
    </row>
    <row r="222" spans="1:60" s="24" customFormat="1" ht="15" x14ac:dyDescent="0.2">
      <c r="B222" s="41" t="s">
        <v>2</v>
      </c>
      <c r="C222" s="41"/>
      <c r="D222" s="41"/>
      <c r="E222" s="42" t="s">
        <v>4</v>
      </c>
      <c r="F222" s="29"/>
      <c r="G222" s="29" t="s">
        <v>6</v>
      </c>
      <c r="H222" s="29" t="s">
        <v>3</v>
      </c>
      <c r="I222" s="29" t="s">
        <v>9</v>
      </c>
      <c r="J222" s="42" t="s">
        <v>15</v>
      </c>
    </row>
    <row r="223" spans="1:60" s="24" customFormat="1" ht="3" customHeight="1" x14ac:dyDescent="0.2">
      <c r="B223" s="33"/>
      <c r="C223" s="33"/>
      <c r="D223" s="33"/>
      <c r="E223" s="33"/>
      <c r="F223" s="33"/>
      <c r="G223" s="33"/>
      <c r="H223" s="33"/>
      <c r="I223" s="33"/>
      <c r="J223" s="51"/>
    </row>
    <row r="224" spans="1:60" s="24" customFormat="1" x14ac:dyDescent="0.2">
      <c r="B224" s="33" t="s">
        <v>662</v>
      </c>
      <c r="C224" s="33"/>
      <c r="D224" s="33"/>
      <c r="E224" s="51" t="s">
        <v>58</v>
      </c>
      <c r="F224" s="33"/>
      <c r="G224" s="28">
        <v>3</v>
      </c>
      <c r="H224" s="28" t="s">
        <v>5</v>
      </c>
      <c r="I224" s="47" t="str">
        <f>IF(Nm=3, "D", "S")</f>
        <v>D</v>
      </c>
      <c r="J224" s="51"/>
      <c r="N224" s="62"/>
    </row>
    <row r="225" spans="2:16" s="24" customFormat="1" ht="3" customHeight="1" x14ac:dyDescent="0.2">
      <c r="B225" s="33"/>
      <c r="C225" s="33"/>
      <c r="D225" s="33"/>
      <c r="E225" s="51"/>
      <c r="F225" s="33"/>
      <c r="G225" s="28"/>
      <c r="H225" s="28"/>
      <c r="I225" s="28"/>
      <c r="J225" s="51"/>
    </row>
    <row r="226" spans="2:16" s="24" customFormat="1" ht="15" x14ac:dyDescent="0.2">
      <c r="B226" s="33" t="s">
        <v>59</v>
      </c>
      <c r="C226" s="33"/>
      <c r="D226" s="33"/>
      <c r="E226" s="51" t="s">
        <v>60</v>
      </c>
      <c r="F226" s="33"/>
      <c r="G226" s="28">
        <v>8000</v>
      </c>
      <c r="H226" s="28" t="s">
        <v>16</v>
      </c>
      <c r="I226" s="47" t="str">
        <f>IF(Cap=8000, "D", "S")</f>
        <v>D</v>
      </c>
      <c r="J226" s="51"/>
    </row>
    <row r="227" spans="2:16" s="24" customFormat="1" ht="3" customHeight="1" x14ac:dyDescent="0.2">
      <c r="B227" s="33"/>
      <c r="C227" s="33"/>
      <c r="D227" s="33"/>
      <c r="E227" s="51"/>
      <c r="F227" s="33"/>
      <c r="G227" s="28"/>
      <c r="H227" s="28"/>
      <c r="I227" s="28"/>
      <c r="J227" s="51"/>
    </row>
    <row r="228" spans="2:16" s="24" customFormat="1" ht="15" x14ac:dyDescent="0.2">
      <c r="B228" s="33" t="s">
        <v>61</v>
      </c>
      <c r="C228" s="33"/>
      <c r="D228" s="33"/>
      <c r="E228" s="51" t="s">
        <v>109</v>
      </c>
      <c r="F228" s="33"/>
      <c r="G228" s="28">
        <v>6.0000000000000001E-3</v>
      </c>
      <c r="H228" s="28" t="s">
        <v>62</v>
      </c>
      <c r="I228" s="47" t="str">
        <f>IF(Vproduct=0.006, "D", "S")</f>
        <v>D</v>
      </c>
      <c r="J228" s="51"/>
      <c r="M228" s="44"/>
      <c r="N228" s="44"/>
      <c r="O228" s="44"/>
      <c r="P228" s="44"/>
    </row>
    <row r="229" spans="2:16" s="24" customFormat="1" ht="3" customHeight="1" x14ac:dyDescent="0.2">
      <c r="B229" s="33"/>
      <c r="C229" s="33"/>
      <c r="D229" s="33"/>
      <c r="E229" s="51"/>
      <c r="F229" s="33"/>
      <c r="G229" s="28"/>
      <c r="H229" s="28"/>
      <c r="I229" s="28"/>
      <c r="J229" s="51"/>
      <c r="M229" s="44"/>
      <c r="N229" s="44"/>
      <c r="O229" s="44"/>
      <c r="P229" s="44"/>
    </row>
    <row r="230" spans="2:16" s="24" customFormat="1" ht="15" x14ac:dyDescent="0.2">
      <c r="B230" s="426" t="s">
        <v>63</v>
      </c>
      <c r="C230" s="426"/>
      <c r="D230" s="33"/>
      <c r="E230" s="51" t="s">
        <v>110</v>
      </c>
      <c r="F230" s="33"/>
      <c r="G230" s="31"/>
      <c r="H230" s="28" t="s">
        <v>69</v>
      </c>
      <c r="I230" s="47" t="s">
        <v>18</v>
      </c>
      <c r="J230" s="51"/>
      <c r="M230" s="44"/>
      <c r="N230" s="44"/>
      <c r="O230" s="44"/>
      <c r="P230" s="44"/>
    </row>
    <row r="231" spans="2:16" s="24" customFormat="1" ht="3" customHeight="1" x14ac:dyDescent="0.2">
      <c r="B231" s="33"/>
      <c r="C231" s="33"/>
      <c r="D231" s="33"/>
      <c r="E231" s="51"/>
      <c r="F231" s="33"/>
      <c r="G231" s="28"/>
      <c r="H231" s="28"/>
      <c r="I231" s="28"/>
      <c r="J231" s="51"/>
      <c r="M231" s="44"/>
      <c r="N231" s="44"/>
      <c r="O231" s="44"/>
      <c r="P231" s="44"/>
    </row>
    <row r="232" spans="2:16" s="24" customFormat="1" ht="11.25" customHeight="1" x14ac:dyDescent="0.2">
      <c r="B232" s="33" t="s">
        <v>64</v>
      </c>
      <c r="C232" s="33"/>
      <c r="D232" s="33"/>
      <c r="E232" s="51" t="s">
        <v>111</v>
      </c>
      <c r="F232" s="33"/>
      <c r="G232" s="28">
        <v>0</v>
      </c>
      <c r="H232" s="28" t="s">
        <v>5</v>
      </c>
      <c r="I232" s="47" t="str">
        <f>IF(Fred=0, "D", "S")</f>
        <v>D</v>
      </c>
      <c r="J232" s="51"/>
      <c r="M232" s="44"/>
      <c r="N232" s="44"/>
      <c r="O232" s="44"/>
      <c r="P232" s="44"/>
    </row>
    <row r="233" spans="2:16" s="24" customFormat="1" ht="3" customHeight="1" x14ac:dyDescent="0.2">
      <c r="B233" s="33"/>
      <c r="C233" s="33"/>
      <c r="D233" s="33"/>
      <c r="E233" s="51"/>
      <c r="F233" s="33"/>
      <c r="G233" s="28"/>
      <c r="H233" s="28"/>
      <c r="I233" s="28"/>
      <c r="J233" s="51"/>
      <c r="M233" s="44"/>
      <c r="N233" s="44"/>
      <c r="O233" s="44"/>
      <c r="P233" s="44"/>
    </row>
    <row r="234" spans="2:16" s="24" customFormat="1" ht="15" x14ac:dyDescent="0.2">
      <c r="B234" s="33" t="s">
        <v>88</v>
      </c>
      <c r="C234" s="33"/>
      <c r="D234" s="33"/>
      <c r="E234" s="51" t="s">
        <v>100</v>
      </c>
      <c r="F234" s="33"/>
      <c r="G234" s="28">
        <v>1</v>
      </c>
      <c r="H234" s="28" t="s">
        <v>5</v>
      </c>
      <c r="I234" s="47" t="str">
        <f>IF(Fpenetr_hosp=1, "D", "S")</f>
        <v>D</v>
      </c>
      <c r="J234" s="89"/>
      <c r="M234" s="44"/>
      <c r="N234" s="44"/>
      <c r="O234" s="44"/>
      <c r="P234" s="44"/>
    </row>
    <row r="235" spans="2:16" s="24" customFormat="1" ht="3" customHeight="1" x14ac:dyDescent="0.2">
      <c r="B235" s="33"/>
      <c r="C235" s="33"/>
      <c r="D235" s="33"/>
      <c r="E235" s="33"/>
      <c r="F235" s="33"/>
      <c r="G235" s="33"/>
      <c r="H235" s="33"/>
      <c r="I235" s="33"/>
      <c r="J235" s="51"/>
      <c r="M235" s="44"/>
      <c r="N235" s="44"/>
      <c r="O235" s="44"/>
      <c r="P235" s="44"/>
    </row>
    <row r="236" spans="2:16" s="24" customFormat="1" ht="15" x14ac:dyDescent="0.2">
      <c r="B236" s="27" t="s">
        <v>1</v>
      </c>
      <c r="C236" s="39"/>
      <c r="D236" s="39"/>
      <c r="E236" s="39"/>
      <c r="F236" s="39"/>
      <c r="G236" s="39"/>
      <c r="H236" s="39"/>
      <c r="I236" s="39"/>
      <c r="J236" s="40"/>
      <c r="K236" s="66"/>
      <c r="M236" s="44"/>
      <c r="N236" s="44"/>
      <c r="O236" s="44"/>
      <c r="P236" s="44"/>
    </row>
    <row r="237" spans="2:16" s="24" customFormat="1" ht="3" customHeight="1" x14ac:dyDescent="0.2">
      <c r="B237" s="33"/>
      <c r="C237" s="33"/>
      <c r="D237" s="33"/>
      <c r="E237" s="33"/>
      <c r="F237" s="33"/>
      <c r="G237" s="33"/>
      <c r="H237" s="33"/>
      <c r="I237" s="33"/>
      <c r="J237" s="51"/>
      <c r="M237" s="44"/>
      <c r="N237" s="44"/>
      <c r="O237" s="44"/>
      <c r="P237" s="44"/>
    </row>
    <row r="238" spans="2:16" s="24" customFormat="1" ht="15" x14ac:dyDescent="0.2">
      <c r="B238" s="41" t="s">
        <v>2</v>
      </c>
      <c r="C238" s="41"/>
      <c r="D238" s="41"/>
      <c r="E238" s="42" t="s">
        <v>4</v>
      </c>
      <c r="F238" s="29"/>
      <c r="G238" s="29" t="s">
        <v>6</v>
      </c>
      <c r="H238" s="29" t="s">
        <v>3</v>
      </c>
      <c r="I238" s="29" t="s">
        <v>9</v>
      </c>
      <c r="J238" s="42" t="s">
        <v>15</v>
      </c>
      <c r="M238" s="126"/>
      <c r="N238" s="44"/>
      <c r="O238" s="44"/>
      <c r="P238" s="44"/>
    </row>
    <row r="239" spans="2:16" s="24" customFormat="1" ht="3" customHeight="1" x14ac:dyDescent="0.2">
      <c r="B239" s="41"/>
      <c r="C239" s="41"/>
      <c r="D239" s="41"/>
      <c r="E239" s="42"/>
      <c r="F239" s="29"/>
      <c r="G239" s="29"/>
      <c r="H239" s="29"/>
      <c r="I239" s="29"/>
      <c r="J239" s="42"/>
      <c r="M239" s="44"/>
      <c r="N239" s="44"/>
      <c r="O239" s="44"/>
      <c r="P239" s="44"/>
    </row>
    <row r="240" spans="2:16" s="24" customFormat="1" ht="25.5" x14ac:dyDescent="0.2">
      <c r="B240" s="427" t="s">
        <v>65</v>
      </c>
      <c r="C240" s="427"/>
      <c r="D240" s="33"/>
      <c r="E240" s="33" t="s">
        <v>44</v>
      </c>
      <c r="F240" s="33"/>
      <c r="G240" s="37" t="str">
        <f>IF(ISNUMBER(Cdetergent),Nm*Cap*Vproduct*Cdetergent*(1-Fred)*Fpenetr_hosp*0.001,"??")</f>
        <v>??</v>
      </c>
      <c r="H240" s="52" t="s">
        <v>78</v>
      </c>
      <c r="I240" s="28" t="s">
        <v>7</v>
      </c>
      <c r="J240" s="50" t="s">
        <v>663</v>
      </c>
      <c r="M240" s="44"/>
      <c r="N240" s="44"/>
      <c r="O240" s="44"/>
      <c r="P240" s="44"/>
    </row>
    <row r="241" spans="1:60" s="24" customFormat="1" x14ac:dyDescent="0.2">
      <c r="B241" s="33"/>
      <c r="C241" s="33"/>
      <c r="D241" s="33"/>
      <c r="E241" s="33"/>
      <c r="F241" s="33"/>
      <c r="G241" s="33"/>
      <c r="H241" s="33"/>
      <c r="I241" s="33"/>
      <c r="J241" s="51"/>
      <c r="M241" s="44"/>
      <c r="N241" s="44"/>
      <c r="O241" s="44"/>
      <c r="P241" s="44"/>
    </row>
    <row r="242" spans="1:60" s="24" customFormat="1" x14ac:dyDescent="0.2">
      <c r="B242" s="45" t="s">
        <v>10</v>
      </c>
      <c r="J242" s="60"/>
    </row>
    <row r="243" spans="1:60" s="24" customFormat="1" x14ac:dyDescent="0.2">
      <c r="B243" s="438" t="s">
        <v>151</v>
      </c>
      <c r="C243" s="438"/>
      <c r="D243" s="438"/>
      <c r="E243" s="438"/>
      <c r="F243" s="438"/>
      <c r="G243" s="438"/>
      <c r="H243" s="438"/>
      <c r="I243" s="438"/>
      <c r="J243" s="438"/>
    </row>
    <row r="244" spans="1:60" s="121" customFormat="1" x14ac:dyDescent="0.2">
      <c r="B244" s="235"/>
      <c r="C244" s="235"/>
      <c r="D244" s="235"/>
      <c r="E244" s="235"/>
      <c r="F244" s="235"/>
      <c r="G244" s="235"/>
      <c r="H244" s="235"/>
      <c r="I244" s="235"/>
      <c r="J244" s="235"/>
    </row>
    <row r="245" spans="1:60" s="121" customFormat="1" ht="14.25" x14ac:dyDescent="0.2">
      <c r="B245" s="254" t="s">
        <v>422</v>
      </c>
      <c r="C245" s="232"/>
      <c r="D245" s="232"/>
      <c r="E245" s="232"/>
      <c r="F245" s="232"/>
      <c r="G245" s="232"/>
      <c r="H245" s="232"/>
      <c r="I245" s="232"/>
      <c r="J245" s="232"/>
    </row>
    <row r="246" spans="1:60" s="121" customFormat="1" x14ac:dyDescent="0.2">
      <c r="B246" s="235"/>
      <c r="C246" s="235"/>
      <c r="D246" s="235"/>
      <c r="E246" s="235"/>
      <c r="F246" s="235"/>
      <c r="G246" s="235"/>
      <c r="H246" s="235"/>
      <c r="I246" s="235"/>
      <c r="J246" s="235"/>
    </row>
    <row r="247" spans="1:60" s="24" customFormat="1" ht="31.5" customHeight="1" x14ac:dyDescent="0.2">
      <c r="A247" s="22"/>
      <c r="B247" s="425" t="s">
        <v>562</v>
      </c>
      <c r="C247" s="425"/>
      <c r="D247" s="425"/>
      <c r="E247" s="425"/>
      <c r="F247" s="425"/>
      <c r="G247" s="425"/>
      <c r="H247" s="425"/>
      <c r="I247" s="425"/>
      <c r="J247" s="425"/>
      <c r="BG247" s="25"/>
      <c r="BH247" s="25"/>
    </row>
    <row r="248" spans="1:60" s="24" customFormat="1" ht="3" customHeight="1" x14ac:dyDescent="0.2">
      <c r="A248" s="22"/>
      <c r="B248" s="22"/>
      <c r="C248" s="22"/>
      <c r="D248" s="22"/>
      <c r="E248" s="22"/>
      <c r="F248" s="22"/>
      <c r="G248" s="22"/>
      <c r="H248" s="35"/>
      <c r="I248" s="22"/>
      <c r="J248" s="22"/>
      <c r="BG248" s="25"/>
      <c r="BH248" s="25"/>
    </row>
    <row r="249" spans="1:60" x14ac:dyDescent="0.2">
      <c r="B249" s="38" t="s">
        <v>8</v>
      </c>
      <c r="C249" s="49"/>
      <c r="D249" s="49"/>
      <c r="E249" s="49"/>
      <c r="F249" s="49"/>
      <c r="G249" s="49"/>
      <c r="H249" s="49"/>
      <c r="I249" s="49"/>
      <c r="J249" s="64"/>
      <c r="K249" s="24"/>
      <c r="L249" s="24"/>
      <c r="M249" s="24"/>
      <c r="N249" s="24"/>
      <c r="O249" s="24"/>
      <c r="P249" s="24"/>
    </row>
    <row r="250" spans="1:60" s="24" customFormat="1" x14ac:dyDescent="0.2">
      <c r="B250" s="126" t="s">
        <v>149</v>
      </c>
      <c r="C250" s="62"/>
      <c r="D250" s="62"/>
      <c r="E250" s="62"/>
      <c r="F250" s="62"/>
      <c r="G250" s="62"/>
      <c r="H250" s="62"/>
      <c r="I250" s="62"/>
      <c r="J250" s="84"/>
    </row>
    <row r="251" spans="1:60" s="24" customFormat="1" x14ac:dyDescent="0.2">
      <c r="B251" s="126" t="s">
        <v>150</v>
      </c>
      <c r="C251" s="62"/>
      <c r="D251" s="62"/>
      <c r="E251" s="62"/>
      <c r="F251" s="62"/>
      <c r="G251" s="62"/>
      <c r="H251" s="62"/>
      <c r="I251" s="62"/>
      <c r="J251" s="84"/>
    </row>
    <row r="252" spans="1:60" s="24" customFormat="1" ht="3" customHeight="1" x14ac:dyDescent="0.2">
      <c r="B252" s="65"/>
      <c r="J252" s="60"/>
    </row>
    <row r="253" spans="1:60" s="24" customFormat="1" ht="15" x14ac:dyDescent="0.2">
      <c r="B253" s="27" t="s">
        <v>0</v>
      </c>
      <c r="C253" s="39"/>
      <c r="D253" s="39"/>
      <c r="E253" s="39"/>
      <c r="F253" s="39"/>
      <c r="G253" s="39"/>
      <c r="H253" s="39"/>
      <c r="I253" s="39"/>
      <c r="J253" s="40"/>
      <c r="K253" s="66"/>
    </row>
    <row r="254" spans="1:60" s="24" customFormat="1" ht="3" customHeight="1" x14ac:dyDescent="0.2">
      <c r="B254" s="33"/>
      <c r="C254" s="33"/>
      <c r="D254" s="33"/>
      <c r="E254" s="33"/>
      <c r="F254" s="33"/>
      <c r="G254" s="33"/>
      <c r="H254" s="33"/>
      <c r="I254" s="33"/>
      <c r="J254" s="51"/>
    </row>
    <row r="255" spans="1:60" s="24" customFormat="1" ht="15" x14ac:dyDescent="0.2">
      <c r="B255" s="41" t="s">
        <v>2</v>
      </c>
      <c r="C255" s="41"/>
      <c r="D255" s="41"/>
      <c r="E255" s="42" t="s">
        <v>4</v>
      </c>
      <c r="F255" s="29"/>
      <c r="G255" s="29" t="s">
        <v>6</v>
      </c>
      <c r="H255" s="29" t="s">
        <v>3</v>
      </c>
      <c r="I255" s="29" t="s">
        <v>9</v>
      </c>
      <c r="J255" s="42" t="s">
        <v>15</v>
      </c>
    </row>
    <row r="256" spans="1:60" s="24" customFormat="1" ht="3" customHeight="1" x14ac:dyDescent="0.2">
      <c r="B256" s="33"/>
      <c r="C256" s="33"/>
      <c r="D256" s="33"/>
      <c r="E256" s="33"/>
      <c r="F256" s="33"/>
      <c r="G256" s="33"/>
      <c r="H256" s="33"/>
      <c r="I256" s="33"/>
      <c r="J256" s="51"/>
    </row>
    <row r="257" spans="2:16" s="24" customFormat="1" ht="15" x14ac:dyDescent="0.2">
      <c r="B257" s="33" t="s">
        <v>91</v>
      </c>
      <c r="C257" s="33"/>
      <c r="D257" s="33"/>
      <c r="E257" s="51" t="s">
        <v>66</v>
      </c>
      <c r="F257" s="33"/>
      <c r="G257" s="28">
        <v>0.1</v>
      </c>
      <c r="H257" s="28" t="s">
        <v>67</v>
      </c>
      <c r="I257" s="47" t="str">
        <f>IF(Nm=3, "D", "S")</f>
        <v>D</v>
      </c>
      <c r="J257" s="89"/>
      <c r="N257" s="62"/>
    </row>
    <row r="258" spans="2:16" s="24" customFormat="1" ht="3" customHeight="1" x14ac:dyDescent="0.2">
      <c r="B258" s="33"/>
      <c r="C258" s="33"/>
      <c r="D258" s="33"/>
      <c r="E258" s="51"/>
      <c r="F258" s="33"/>
      <c r="G258" s="28"/>
      <c r="H258" s="28"/>
      <c r="I258" s="28"/>
      <c r="J258" s="51"/>
    </row>
    <row r="259" spans="2:16" s="24" customFormat="1" ht="15" x14ac:dyDescent="0.2">
      <c r="B259" s="426" t="s">
        <v>152</v>
      </c>
      <c r="C259" s="426"/>
      <c r="D259" s="33"/>
      <c r="E259" s="51" t="s">
        <v>68</v>
      </c>
      <c r="F259" s="33"/>
      <c r="G259" s="31"/>
      <c r="H259" s="28" t="s">
        <v>69</v>
      </c>
      <c r="I259" s="47" t="s">
        <v>18</v>
      </c>
      <c r="J259" s="51"/>
      <c r="M259" s="44"/>
      <c r="N259" s="44"/>
      <c r="O259" s="44"/>
      <c r="P259" s="44"/>
    </row>
    <row r="260" spans="2:16" s="24" customFormat="1" ht="3" customHeight="1" x14ac:dyDescent="0.2">
      <c r="B260" s="33"/>
      <c r="C260" s="33"/>
      <c r="D260" s="33"/>
      <c r="E260" s="51"/>
      <c r="F260" s="33"/>
      <c r="G260" s="28"/>
      <c r="H260" s="28"/>
      <c r="I260" s="28"/>
      <c r="J260" s="51"/>
      <c r="M260" s="44"/>
      <c r="N260" s="44"/>
      <c r="O260" s="44"/>
      <c r="P260" s="44"/>
    </row>
    <row r="261" spans="2:16" s="24" customFormat="1" ht="11.25" customHeight="1" x14ac:dyDescent="0.2">
      <c r="B261" s="33" t="s">
        <v>70</v>
      </c>
      <c r="C261" s="33"/>
      <c r="D261" s="33"/>
      <c r="E261" s="51" t="s">
        <v>71</v>
      </c>
      <c r="F261" s="33"/>
      <c r="G261" s="28">
        <v>0.01</v>
      </c>
      <c r="H261" s="28" t="s">
        <v>5</v>
      </c>
      <c r="I261" s="47" t="str">
        <f>IF(Fconc=0.01, "D", "S")</f>
        <v>D</v>
      </c>
      <c r="J261" s="51"/>
      <c r="M261" s="44"/>
      <c r="N261" s="44"/>
      <c r="O261" s="44"/>
      <c r="P261" s="44"/>
    </row>
    <row r="262" spans="2:16" s="24" customFormat="1" ht="3" customHeight="1" x14ac:dyDescent="0.2">
      <c r="B262" s="33"/>
      <c r="C262" s="33"/>
      <c r="D262" s="33"/>
      <c r="E262" s="96"/>
      <c r="F262" s="33"/>
      <c r="G262" s="28"/>
      <c r="H262" s="28"/>
      <c r="I262" s="28"/>
      <c r="J262" s="96"/>
      <c r="M262" s="44"/>
      <c r="N262" s="44"/>
      <c r="O262" s="44"/>
      <c r="P262" s="44"/>
    </row>
    <row r="263" spans="2:16" s="24" customFormat="1" ht="15" x14ac:dyDescent="0.2">
      <c r="B263" s="33" t="s">
        <v>72</v>
      </c>
      <c r="C263" s="33"/>
      <c r="D263" s="33"/>
      <c r="E263" s="51" t="s">
        <v>112</v>
      </c>
      <c r="F263" s="33"/>
      <c r="G263" s="28">
        <v>2000</v>
      </c>
      <c r="H263" s="28" t="s">
        <v>73</v>
      </c>
      <c r="I263" s="47" t="str">
        <f>IF(Area=2000, "D", "S")</f>
        <v>D</v>
      </c>
      <c r="J263" s="51"/>
      <c r="M263" s="44"/>
      <c r="N263" s="44"/>
      <c r="O263" s="44"/>
      <c r="P263" s="44"/>
    </row>
    <row r="264" spans="2:16" s="24" customFormat="1" ht="3" customHeight="1" x14ac:dyDescent="0.2">
      <c r="B264" s="33"/>
      <c r="C264" s="33"/>
      <c r="D264" s="33"/>
      <c r="E264" s="96"/>
      <c r="F264" s="33"/>
      <c r="G264" s="28"/>
      <c r="H264" s="28"/>
      <c r="I264" s="28"/>
      <c r="J264" s="96"/>
      <c r="M264" s="44"/>
      <c r="N264" s="44"/>
      <c r="O264" s="44"/>
      <c r="P264" s="44"/>
    </row>
    <row r="265" spans="2:16" s="24" customFormat="1" ht="15" x14ac:dyDescent="0.2">
      <c r="B265" s="33" t="s">
        <v>74</v>
      </c>
      <c r="C265" s="33"/>
      <c r="D265" s="33"/>
      <c r="E265" s="51" t="s">
        <v>98</v>
      </c>
      <c r="F265" s="33"/>
      <c r="G265" s="28">
        <v>1</v>
      </c>
      <c r="H265" s="28" t="s">
        <v>22</v>
      </c>
      <c r="I265" s="47" t="str">
        <f>IF(Nappl_ind=1, "D", "S")</f>
        <v>D</v>
      </c>
      <c r="J265" s="51"/>
      <c r="M265" s="44"/>
      <c r="N265" s="44"/>
      <c r="O265" s="44"/>
      <c r="P265" s="44"/>
    </row>
    <row r="266" spans="2:16" s="24" customFormat="1" ht="3" customHeight="1" x14ac:dyDescent="0.2">
      <c r="B266" s="33"/>
      <c r="C266" s="33"/>
      <c r="D266" s="33"/>
      <c r="E266" s="51"/>
      <c r="F266" s="33"/>
      <c r="G266" s="28"/>
      <c r="H266" s="28"/>
      <c r="I266" s="47"/>
      <c r="J266" s="51"/>
      <c r="M266" s="44"/>
      <c r="N266" s="44"/>
      <c r="O266" s="44"/>
      <c r="P266" s="44"/>
    </row>
    <row r="267" spans="2:16" s="24" customFormat="1" ht="27.75" customHeight="1" x14ac:dyDescent="0.2">
      <c r="B267" s="431" t="s">
        <v>75</v>
      </c>
      <c r="C267" s="431"/>
      <c r="D267" s="33"/>
      <c r="E267" s="51" t="s">
        <v>113</v>
      </c>
      <c r="F267" s="33"/>
      <c r="G267" s="28">
        <v>0</v>
      </c>
      <c r="H267" s="28" t="s">
        <v>5</v>
      </c>
      <c r="I267" s="47" t="str">
        <f>IF(Fdis=0, "D", "S")</f>
        <v>D</v>
      </c>
      <c r="J267" s="51"/>
      <c r="M267" s="44"/>
      <c r="N267" s="44"/>
      <c r="O267" s="44"/>
      <c r="P267" s="44"/>
    </row>
    <row r="268" spans="2:16" s="24" customFormat="1" ht="3" customHeight="1" x14ac:dyDescent="0.2">
      <c r="B268" s="33"/>
      <c r="C268" s="33"/>
      <c r="D268" s="33"/>
      <c r="E268" s="51"/>
      <c r="F268" s="33"/>
      <c r="G268" s="28"/>
      <c r="H268" s="28"/>
      <c r="I268" s="47"/>
      <c r="J268" s="51"/>
      <c r="M268" s="44"/>
      <c r="N268" s="44"/>
      <c r="O268" s="44"/>
      <c r="P268" s="44"/>
    </row>
    <row r="269" spans="2:16" s="24" customFormat="1" x14ac:dyDescent="0.2">
      <c r="B269" s="33" t="s">
        <v>76</v>
      </c>
      <c r="C269" s="33"/>
      <c r="D269" s="33"/>
      <c r="E269" s="51" t="s">
        <v>97</v>
      </c>
      <c r="F269" s="33"/>
      <c r="G269" s="28">
        <v>1</v>
      </c>
      <c r="H269" s="28" t="s">
        <v>5</v>
      </c>
      <c r="I269" s="47" t="str">
        <f>IF(Fwater_ind=1, "D", "S")</f>
        <v>D</v>
      </c>
      <c r="J269" s="51"/>
      <c r="M269" s="44"/>
      <c r="N269" s="44"/>
      <c r="O269" s="44"/>
      <c r="P269" s="44"/>
    </row>
    <row r="270" spans="2:16" s="24" customFormat="1" ht="3" customHeight="1" x14ac:dyDescent="0.2">
      <c r="B270" s="33"/>
      <c r="C270" s="33"/>
      <c r="D270" s="33"/>
      <c r="E270" s="51"/>
      <c r="F270" s="33"/>
      <c r="G270" s="28"/>
      <c r="H270" s="28"/>
      <c r="I270" s="47"/>
      <c r="J270" s="51"/>
      <c r="M270" s="44"/>
      <c r="N270" s="44"/>
      <c r="O270" s="44"/>
      <c r="P270" s="44"/>
    </row>
    <row r="271" spans="2:16" s="24" customFormat="1" ht="15" x14ac:dyDescent="0.2">
      <c r="B271" s="33" t="s">
        <v>90</v>
      </c>
      <c r="C271" s="33"/>
      <c r="D271" s="33"/>
      <c r="E271" s="51" t="s">
        <v>100</v>
      </c>
      <c r="F271" s="33"/>
      <c r="G271" s="28">
        <v>1</v>
      </c>
      <c r="H271" s="28" t="s">
        <v>5</v>
      </c>
      <c r="I271" s="47" t="str">
        <f>IF(Fpenetr_ind=1, "D", "S")</f>
        <v>D</v>
      </c>
      <c r="J271" s="89"/>
      <c r="M271" s="44"/>
      <c r="N271" s="44"/>
      <c r="O271" s="44"/>
      <c r="P271" s="44"/>
    </row>
    <row r="272" spans="2:16" s="24" customFormat="1" ht="3" customHeight="1" x14ac:dyDescent="0.2">
      <c r="B272" s="33"/>
      <c r="C272" s="33"/>
      <c r="D272" s="33"/>
      <c r="E272" s="33"/>
      <c r="F272" s="33"/>
      <c r="G272" s="33"/>
      <c r="H272" s="33"/>
      <c r="I272" s="33"/>
      <c r="J272" s="51"/>
      <c r="M272" s="44"/>
      <c r="N272" s="44"/>
      <c r="O272" s="44"/>
      <c r="P272" s="44"/>
    </row>
    <row r="273" spans="1:60" s="24" customFormat="1" ht="15" x14ac:dyDescent="0.2">
      <c r="B273" s="27" t="s">
        <v>1</v>
      </c>
      <c r="C273" s="39"/>
      <c r="D273" s="39"/>
      <c r="E273" s="39"/>
      <c r="F273" s="39"/>
      <c r="G273" s="39"/>
      <c r="H273" s="39"/>
      <c r="I273" s="39"/>
      <c r="J273" s="40"/>
      <c r="K273" s="66"/>
      <c r="M273" s="44"/>
      <c r="N273" s="44"/>
      <c r="O273" s="44"/>
      <c r="P273" s="44"/>
    </row>
    <row r="274" spans="1:60" s="24" customFormat="1" ht="3" customHeight="1" x14ac:dyDescent="0.2">
      <c r="B274" s="33"/>
      <c r="C274" s="33"/>
      <c r="D274" s="33"/>
      <c r="E274" s="33"/>
      <c r="F274" s="33"/>
      <c r="G274" s="33"/>
      <c r="H274" s="33"/>
      <c r="I274" s="33"/>
      <c r="J274" s="51"/>
      <c r="M274" s="44"/>
      <c r="N274" s="44"/>
      <c r="O274" s="44"/>
      <c r="P274" s="44"/>
    </row>
    <row r="275" spans="1:60" s="24" customFormat="1" ht="15" x14ac:dyDescent="0.2">
      <c r="B275" s="41" t="s">
        <v>2</v>
      </c>
      <c r="C275" s="41"/>
      <c r="D275" s="41"/>
      <c r="E275" s="42" t="s">
        <v>4</v>
      </c>
      <c r="F275" s="29"/>
      <c r="G275" s="29" t="s">
        <v>6</v>
      </c>
      <c r="H275" s="29" t="s">
        <v>3</v>
      </c>
      <c r="I275" s="29" t="s">
        <v>9</v>
      </c>
      <c r="J275" s="42" t="s">
        <v>15</v>
      </c>
      <c r="M275" s="44"/>
      <c r="N275" s="44"/>
      <c r="O275" s="44"/>
      <c r="P275" s="44"/>
    </row>
    <row r="276" spans="1:60" s="24" customFormat="1" ht="3" customHeight="1" x14ac:dyDescent="0.2">
      <c r="B276" s="41"/>
      <c r="C276" s="41"/>
      <c r="D276" s="41"/>
      <c r="E276" s="42"/>
      <c r="F276" s="29"/>
      <c r="G276" s="29"/>
      <c r="H276" s="29"/>
      <c r="I276" s="29"/>
      <c r="J276" s="42"/>
      <c r="M276" s="44"/>
      <c r="N276" s="44"/>
      <c r="O276" s="44"/>
      <c r="P276" s="44"/>
    </row>
    <row r="277" spans="1:60" s="24" customFormat="1" ht="25.5" x14ac:dyDescent="0.2">
      <c r="B277" s="459" t="s">
        <v>77</v>
      </c>
      <c r="C277" s="459"/>
      <c r="D277" s="33"/>
      <c r="E277" s="33" t="s">
        <v>44</v>
      </c>
      <c r="F277" s="33"/>
      <c r="G277" s="37" t="str">
        <f>IF(ISNUMBER(Cform),Vform*Cform*Fconc*Area*Nappl_ind*(1-Fdis)*Fwater_ind*Fpenetr_ind/1000,"??")</f>
        <v>??</v>
      </c>
      <c r="H277" s="52" t="s">
        <v>78</v>
      </c>
      <c r="I277" s="28" t="s">
        <v>7</v>
      </c>
      <c r="J277" s="50" t="s">
        <v>114</v>
      </c>
      <c r="M277" s="44"/>
      <c r="N277" s="44"/>
      <c r="O277" s="44"/>
      <c r="P277" s="44"/>
    </row>
    <row r="278" spans="1:60" s="24" customFormat="1" x14ac:dyDescent="0.2">
      <c r="B278" s="33"/>
      <c r="C278" s="33"/>
      <c r="D278" s="33"/>
      <c r="E278" s="33"/>
      <c r="F278" s="33"/>
      <c r="G278" s="33"/>
      <c r="H278" s="33"/>
      <c r="I278" s="33"/>
      <c r="J278" s="51"/>
      <c r="M278" s="44"/>
      <c r="N278" s="44"/>
      <c r="O278" s="44"/>
      <c r="P278" s="44"/>
    </row>
    <row r="279" spans="1:60" s="24" customFormat="1" x14ac:dyDescent="0.2">
      <c r="B279" s="45" t="s">
        <v>10</v>
      </c>
      <c r="J279" s="60"/>
    </row>
    <row r="280" spans="1:60" s="24" customFormat="1" x14ac:dyDescent="0.2">
      <c r="B280" s="438" t="s">
        <v>153</v>
      </c>
      <c r="C280" s="438"/>
      <c r="D280" s="438"/>
      <c r="E280" s="438"/>
      <c r="F280" s="438"/>
      <c r="G280" s="438"/>
      <c r="H280" s="438"/>
      <c r="I280" s="438"/>
      <c r="J280" s="438"/>
    </row>
    <row r="281" spans="1:60" s="24" customFormat="1" x14ac:dyDescent="0.2">
      <c r="A281" s="24">
        <v>2</v>
      </c>
      <c r="B281" s="438" t="s">
        <v>156</v>
      </c>
      <c r="C281" s="438"/>
      <c r="D281" s="438"/>
      <c r="E281" s="438"/>
      <c r="F281" s="438"/>
      <c r="G281" s="438"/>
      <c r="H281" s="438"/>
      <c r="I281" s="438"/>
      <c r="J281" s="438"/>
    </row>
    <row r="282" spans="1:60" s="121" customFormat="1" x14ac:dyDescent="0.2">
      <c r="B282" s="235"/>
      <c r="C282" s="235"/>
      <c r="D282" s="235"/>
      <c r="E282" s="235"/>
      <c r="F282" s="235"/>
      <c r="G282" s="235"/>
      <c r="H282" s="235"/>
      <c r="I282" s="235"/>
      <c r="J282" s="235"/>
    </row>
    <row r="283" spans="1:60" s="24" customFormat="1" x14ac:dyDescent="0.2">
      <c r="B283" s="254" t="s">
        <v>422</v>
      </c>
      <c r="J283" s="60"/>
    </row>
    <row r="284" spans="1:60" s="24" customFormat="1" x14ac:dyDescent="0.2">
      <c r="J284" s="60"/>
    </row>
    <row r="285" spans="1:60" s="24" customFormat="1" ht="39" customHeight="1" x14ac:dyDescent="0.2">
      <c r="A285" s="22"/>
      <c r="B285" s="437" t="s">
        <v>132</v>
      </c>
      <c r="C285" s="437"/>
      <c r="D285" s="437"/>
      <c r="E285" s="437"/>
      <c r="F285" s="437"/>
      <c r="G285" s="437"/>
      <c r="H285" s="437"/>
      <c r="I285" s="437"/>
      <c r="J285" s="437"/>
      <c r="BG285" s="25"/>
      <c r="BH285" s="25"/>
    </row>
    <row r="286" spans="1:60" s="24" customFormat="1" x14ac:dyDescent="0.2">
      <c r="J286" s="60"/>
    </row>
    <row r="287" spans="1:60" s="24" customFormat="1" ht="36" customHeight="1" x14ac:dyDescent="0.2">
      <c r="A287" s="22"/>
      <c r="B287" s="425" t="s">
        <v>563</v>
      </c>
      <c r="C287" s="425"/>
      <c r="D287" s="425"/>
      <c r="E287" s="425"/>
      <c r="F287" s="425"/>
      <c r="G287" s="425"/>
      <c r="H287" s="425"/>
      <c r="I287" s="425"/>
      <c r="J287" s="425"/>
      <c r="BG287" s="25"/>
      <c r="BH287" s="25"/>
    </row>
    <row r="288" spans="1:60" s="24" customFormat="1" ht="3" customHeight="1" x14ac:dyDescent="0.2">
      <c r="A288" s="22"/>
      <c r="B288" s="22"/>
      <c r="C288" s="22"/>
      <c r="D288" s="22"/>
      <c r="E288" s="22"/>
      <c r="F288" s="22"/>
      <c r="G288" s="22"/>
      <c r="H288" s="35"/>
      <c r="I288" s="22"/>
      <c r="J288" s="22"/>
      <c r="BG288" s="25"/>
      <c r="BH288" s="25"/>
    </row>
    <row r="289" spans="2:16" x14ac:dyDescent="0.2">
      <c r="B289" s="38" t="s">
        <v>8</v>
      </c>
      <c r="C289" s="49"/>
      <c r="D289" s="49"/>
      <c r="E289" s="49"/>
      <c r="F289" s="49"/>
      <c r="G289" s="49"/>
      <c r="H289" s="49"/>
      <c r="I289" s="49"/>
      <c r="J289" s="64"/>
      <c r="K289" s="24"/>
      <c r="L289" s="24"/>
      <c r="M289" s="24"/>
      <c r="N289" s="24"/>
      <c r="O289" s="24"/>
      <c r="P289" s="24"/>
    </row>
    <row r="290" spans="2:16" s="24" customFormat="1" x14ac:dyDescent="0.2">
      <c r="B290" s="126" t="s">
        <v>154</v>
      </c>
      <c r="C290" s="62"/>
      <c r="D290" s="62"/>
      <c r="E290" s="62"/>
      <c r="F290" s="62"/>
      <c r="G290" s="62"/>
      <c r="H290" s="62"/>
      <c r="I290" s="62"/>
      <c r="J290" s="84"/>
    </row>
    <row r="291" spans="2:16" s="24" customFormat="1" x14ac:dyDescent="0.2">
      <c r="B291" s="126" t="s">
        <v>150</v>
      </c>
      <c r="C291" s="62"/>
      <c r="D291" s="62"/>
      <c r="E291" s="62"/>
      <c r="F291" s="62"/>
      <c r="G291" s="62"/>
      <c r="H291" s="62"/>
      <c r="I291" s="62"/>
      <c r="J291" s="84"/>
    </row>
    <row r="292" spans="2:16" s="24" customFormat="1" ht="3" customHeight="1" x14ac:dyDescent="0.2">
      <c r="B292" s="65"/>
      <c r="J292" s="60"/>
    </row>
    <row r="293" spans="2:16" s="24" customFormat="1" ht="15" x14ac:dyDescent="0.2">
      <c r="B293" s="27" t="s">
        <v>0</v>
      </c>
      <c r="C293" s="39"/>
      <c r="D293" s="39"/>
      <c r="E293" s="39"/>
      <c r="F293" s="39"/>
      <c r="G293" s="39"/>
      <c r="H293" s="39"/>
      <c r="I293" s="39"/>
      <c r="J293" s="40"/>
      <c r="K293" s="66"/>
    </row>
    <row r="294" spans="2:16" s="24" customFormat="1" ht="3" customHeight="1" x14ac:dyDescent="0.2">
      <c r="B294" s="33"/>
      <c r="C294" s="33"/>
      <c r="D294" s="33"/>
      <c r="E294" s="33"/>
      <c r="F294" s="33"/>
      <c r="G294" s="33"/>
      <c r="H294" s="33"/>
      <c r="I294" s="33"/>
      <c r="J294" s="51"/>
    </row>
    <row r="295" spans="2:16" s="24" customFormat="1" ht="15" x14ac:dyDescent="0.2">
      <c r="B295" s="41" t="s">
        <v>2</v>
      </c>
      <c r="C295" s="41"/>
      <c r="D295" s="41"/>
      <c r="E295" s="42" t="s">
        <v>4</v>
      </c>
      <c r="F295" s="29"/>
      <c r="G295" s="29" t="s">
        <v>6</v>
      </c>
      <c r="H295" s="29" t="s">
        <v>3</v>
      </c>
      <c r="I295" s="29" t="s">
        <v>9</v>
      </c>
      <c r="J295" s="42" t="s">
        <v>15</v>
      </c>
    </row>
    <row r="296" spans="2:16" s="24" customFormat="1" ht="3" customHeight="1" x14ac:dyDescent="0.2">
      <c r="B296" s="33"/>
      <c r="C296" s="33"/>
      <c r="D296" s="33"/>
      <c r="E296" s="33"/>
      <c r="F296" s="33"/>
      <c r="G296" s="33"/>
      <c r="H296" s="33"/>
      <c r="I296" s="33"/>
      <c r="J296" s="51"/>
    </row>
    <row r="297" spans="2:16" s="24" customFormat="1" x14ac:dyDescent="0.2">
      <c r="B297" s="33" t="s">
        <v>79</v>
      </c>
      <c r="C297" s="33"/>
      <c r="D297" s="33"/>
      <c r="E297" s="51" t="s">
        <v>115</v>
      </c>
      <c r="F297" s="33"/>
      <c r="G297" s="28">
        <v>4000</v>
      </c>
      <c r="H297" s="28" t="s">
        <v>5</v>
      </c>
      <c r="I297" s="47" t="str">
        <f>IF(Nhouse=4000, "D", "S")</f>
        <v>D</v>
      </c>
      <c r="J297" s="89"/>
      <c r="N297" s="62"/>
    </row>
    <row r="298" spans="2:16" s="24" customFormat="1" ht="3" customHeight="1" x14ac:dyDescent="0.2">
      <c r="B298" s="33"/>
      <c r="C298" s="33"/>
      <c r="D298" s="33"/>
      <c r="E298" s="51"/>
      <c r="F298" s="33"/>
      <c r="G298" s="28"/>
      <c r="H298" s="28"/>
      <c r="I298" s="28"/>
      <c r="J298" s="51"/>
    </row>
    <row r="299" spans="2:16" s="24" customFormat="1" ht="15" x14ac:dyDescent="0.2">
      <c r="B299" s="426" t="s">
        <v>80</v>
      </c>
      <c r="C299" s="426"/>
      <c r="D299" s="33"/>
      <c r="E299" s="51" t="s">
        <v>116</v>
      </c>
      <c r="F299" s="33"/>
      <c r="G299" s="28">
        <v>0.61</v>
      </c>
      <c r="H299" s="98" t="s">
        <v>81</v>
      </c>
      <c r="I299" s="47" t="str">
        <f>IF(Nwash=0.61, "D", "S")</f>
        <v>D</v>
      </c>
      <c r="J299" s="51"/>
      <c r="M299" s="44"/>
      <c r="N299" s="44"/>
      <c r="O299" s="44"/>
      <c r="P299" s="44"/>
    </row>
    <row r="300" spans="2:16" s="24" customFormat="1" ht="3" customHeight="1" x14ac:dyDescent="0.2">
      <c r="B300" s="33"/>
      <c r="C300" s="33"/>
      <c r="D300" s="33"/>
      <c r="E300" s="96"/>
      <c r="F300" s="33"/>
      <c r="G300" s="28"/>
      <c r="H300" s="28"/>
      <c r="I300" s="28"/>
      <c r="J300" s="96"/>
    </row>
    <row r="301" spans="2:16" s="24" customFormat="1" ht="11.25" customHeight="1" x14ac:dyDescent="0.2">
      <c r="B301" s="33" t="s">
        <v>29</v>
      </c>
      <c r="C301" s="33"/>
      <c r="D301" s="33"/>
      <c r="E301" s="51" t="s">
        <v>97</v>
      </c>
      <c r="F301" s="33"/>
      <c r="G301" s="28">
        <v>1</v>
      </c>
      <c r="H301" s="28" t="s">
        <v>5</v>
      </c>
      <c r="I301" s="47" t="str">
        <f>IF(Fwater_fabric=1, "D", "S")</f>
        <v>D</v>
      </c>
      <c r="J301" s="51"/>
      <c r="M301" s="44"/>
      <c r="N301" s="44"/>
      <c r="O301" s="44"/>
      <c r="P301" s="44"/>
    </row>
    <row r="302" spans="2:16" s="24" customFormat="1" ht="3" customHeight="1" x14ac:dyDescent="0.2">
      <c r="B302" s="33"/>
      <c r="C302" s="33"/>
      <c r="D302" s="33"/>
      <c r="E302" s="96"/>
      <c r="F302" s="33"/>
      <c r="G302" s="28"/>
      <c r="H302" s="28"/>
      <c r="I302" s="28"/>
      <c r="J302" s="96"/>
    </row>
    <row r="303" spans="2:16" s="24" customFormat="1" x14ac:dyDescent="0.2">
      <c r="B303" s="33" t="s">
        <v>82</v>
      </c>
      <c r="C303" s="33"/>
      <c r="D303" s="33"/>
      <c r="E303" s="51" t="s">
        <v>117</v>
      </c>
      <c r="F303" s="33"/>
      <c r="G303" s="28">
        <v>0.6</v>
      </c>
      <c r="H303" s="28" t="s">
        <v>5</v>
      </c>
      <c r="I303" s="47" t="str">
        <f>IF(Fliquid=0.6, "D", "S")</f>
        <v>D</v>
      </c>
      <c r="J303" s="51"/>
      <c r="M303" s="44"/>
      <c r="N303" s="44"/>
      <c r="O303" s="44"/>
      <c r="P303" s="44"/>
    </row>
    <row r="304" spans="2:16" s="24" customFormat="1" ht="3" customHeight="1" x14ac:dyDescent="0.2">
      <c r="B304" s="33"/>
      <c r="C304" s="33"/>
      <c r="D304" s="33"/>
      <c r="E304" s="96"/>
      <c r="F304" s="33"/>
      <c r="G304" s="28"/>
      <c r="H304" s="28"/>
      <c r="I304" s="28"/>
      <c r="J304" s="96"/>
    </row>
    <row r="305" spans="2:16" s="24" customFormat="1" x14ac:dyDescent="0.2">
      <c r="B305" s="33" t="s">
        <v>83</v>
      </c>
      <c r="C305" s="33"/>
      <c r="D305" s="33"/>
      <c r="E305" s="51" t="s">
        <v>118</v>
      </c>
      <c r="F305" s="33"/>
      <c r="G305" s="28">
        <v>7.4999999999999997E-2</v>
      </c>
      <c r="H305" s="28" t="s">
        <v>84</v>
      </c>
      <c r="I305" s="63" t="str">
        <f>IF(DOSEliquid=0.075, "D", "S")</f>
        <v>D</v>
      </c>
      <c r="J305" s="51"/>
      <c r="M305" s="44"/>
      <c r="N305" s="44"/>
      <c r="O305" s="44"/>
      <c r="P305" s="44"/>
    </row>
    <row r="306" spans="2:16" s="24" customFormat="1" ht="3" customHeight="1" x14ac:dyDescent="0.2">
      <c r="B306" s="33"/>
      <c r="C306" s="33"/>
      <c r="D306" s="33"/>
      <c r="E306" s="96"/>
      <c r="F306" s="33"/>
      <c r="G306" s="28"/>
      <c r="H306" s="28"/>
      <c r="I306" s="52"/>
      <c r="J306" s="96"/>
    </row>
    <row r="307" spans="2:16" s="24" customFormat="1" x14ac:dyDescent="0.2">
      <c r="B307" s="431" t="s">
        <v>85</v>
      </c>
      <c r="C307" s="431"/>
      <c r="D307" s="33"/>
      <c r="E307" s="51" t="s">
        <v>119</v>
      </c>
      <c r="F307" s="33"/>
      <c r="G307" s="28">
        <v>0.04</v>
      </c>
      <c r="H307" s="28" t="s">
        <v>84</v>
      </c>
      <c r="I307" s="63" t="str">
        <f>IF(DOSEsoftener=0.04, "D", "S")</f>
        <v>D</v>
      </c>
      <c r="J307" s="51"/>
      <c r="M307" s="44"/>
      <c r="N307" s="44"/>
      <c r="O307" s="44"/>
      <c r="P307" s="44"/>
    </row>
    <row r="308" spans="2:16" s="24" customFormat="1" ht="3" customHeight="1" x14ac:dyDescent="0.2">
      <c r="B308" s="33"/>
      <c r="C308" s="33"/>
      <c r="D308" s="33"/>
      <c r="E308" s="96"/>
      <c r="F308" s="33"/>
      <c r="G308" s="28"/>
      <c r="H308" s="28"/>
      <c r="I308" s="28"/>
      <c r="J308" s="96"/>
    </row>
    <row r="309" spans="2:16" s="24" customFormat="1" ht="15" x14ac:dyDescent="0.2">
      <c r="B309" s="33" t="s">
        <v>86</v>
      </c>
      <c r="C309" s="33"/>
      <c r="D309" s="33"/>
      <c r="E309" s="51" t="s">
        <v>95</v>
      </c>
      <c r="F309" s="33"/>
      <c r="G309" s="31"/>
      <c r="H309" s="28" t="s">
        <v>27</v>
      </c>
      <c r="I309" s="47" t="s">
        <v>18</v>
      </c>
      <c r="J309" s="51"/>
      <c r="M309" s="44"/>
      <c r="N309" s="44"/>
      <c r="O309" s="44"/>
      <c r="P309" s="44"/>
    </row>
    <row r="310" spans="2:16" s="24" customFormat="1" ht="3" customHeight="1" x14ac:dyDescent="0.2">
      <c r="B310" s="33"/>
      <c r="C310" s="33"/>
      <c r="D310" s="33"/>
      <c r="E310" s="96"/>
      <c r="F310" s="33"/>
      <c r="G310" s="28"/>
      <c r="H310" s="28"/>
      <c r="I310" s="28"/>
      <c r="J310" s="96"/>
    </row>
    <row r="311" spans="2:16" s="24" customFormat="1" ht="15" x14ac:dyDescent="0.2">
      <c r="B311" s="33" t="s">
        <v>88</v>
      </c>
      <c r="C311" s="33"/>
      <c r="D311" s="33"/>
      <c r="E311" s="51" t="s">
        <v>100</v>
      </c>
      <c r="F311" s="33"/>
      <c r="G311" s="28">
        <v>0.5</v>
      </c>
      <c r="H311" s="28" t="s">
        <v>5</v>
      </c>
      <c r="I311" s="63" t="str">
        <f>IF(Fpenetr_fabric=0.5, "D", "S")</f>
        <v>D</v>
      </c>
      <c r="J311" s="89"/>
      <c r="M311" s="44"/>
      <c r="N311" s="44"/>
      <c r="O311" s="44"/>
      <c r="P311" s="44"/>
    </row>
    <row r="312" spans="2:16" s="24" customFormat="1" ht="3" customHeight="1" x14ac:dyDescent="0.2">
      <c r="B312" s="33"/>
      <c r="C312" s="33"/>
      <c r="D312" s="33"/>
      <c r="E312" s="33"/>
      <c r="F312" s="33"/>
      <c r="G312" s="33"/>
      <c r="H312" s="33"/>
      <c r="I312" s="33"/>
      <c r="J312" s="51"/>
      <c r="M312" s="44"/>
      <c r="N312" s="44"/>
      <c r="O312" s="44"/>
      <c r="P312" s="44"/>
    </row>
    <row r="313" spans="2:16" s="24" customFormat="1" ht="15" x14ac:dyDescent="0.2">
      <c r="B313" s="27" t="s">
        <v>1</v>
      </c>
      <c r="C313" s="39"/>
      <c r="D313" s="39"/>
      <c r="E313" s="39"/>
      <c r="F313" s="39"/>
      <c r="G313" s="39"/>
      <c r="H313" s="39"/>
      <c r="I313" s="39"/>
      <c r="J313" s="40"/>
      <c r="K313" s="66"/>
      <c r="M313" s="44"/>
      <c r="N313" s="44"/>
      <c r="O313" s="44"/>
      <c r="P313" s="44"/>
    </row>
    <row r="314" spans="2:16" s="24" customFormat="1" ht="3" customHeight="1" x14ac:dyDescent="0.2">
      <c r="B314" s="33"/>
      <c r="C314" s="33"/>
      <c r="D314" s="33"/>
      <c r="E314" s="33"/>
      <c r="F314" s="33"/>
      <c r="G314" s="33"/>
      <c r="H314" s="33"/>
      <c r="I314" s="33"/>
      <c r="J314" s="51"/>
      <c r="M314" s="44"/>
      <c r="N314" s="44"/>
      <c r="O314" s="44"/>
      <c r="P314" s="44"/>
    </row>
    <row r="315" spans="2:16" s="24" customFormat="1" ht="15" x14ac:dyDescent="0.2">
      <c r="B315" s="41" t="s">
        <v>2</v>
      </c>
      <c r="C315" s="41"/>
      <c r="D315" s="41"/>
      <c r="E315" s="42" t="s">
        <v>4</v>
      </c>
      <c r="F315" s="29"/>
      <c r="G315" s="29" t="s">
        <v>6</v>
      </c>
      <c r="H315" s="29" t="s">
        <v>3</v>
      </c>
      <c r="I315" s="29" t="s">
        <v>9</v>
      </c>
      <c r="J315" s="42" t="s">
        <v>15</v>
      </c>
      <c r="M315" s="44"/>
      <c r="N315" s="44"/>
      <c r="O315" s="44"/>
      <c r="P315" s="44"/>
    </row>
    <row r="316" spans="2:16" s="24" customFormat="1" ht="3" customHeight="1" x14ac:dyDescent="0.2">
      <c r="B316" s="41"/>
      <c r="C316" s="41"/>
      <c r="D316" s="41"/>
      <c r="E316" s="42"/>
      <c r="F316" s="29"/>
      <c r="G316" s="29"/>
      <c r="H316" s="29"/>
      <c r="I316" s="29"/>
      <c r="J316" s="42"/>
      <c r="M316" s="44"/>
      <c r="N316" s="44"/>
      <c r="O316" s="44"/>
      <c r="P316" s="44"/>
    </row>
    <row r="317" spans="2:16" s="24" customFormat="1" ht="33.75" customHeight="1" x14ac:dyDescent="0.2">
      <c r="B317" s="459" t="s">
        <v>87</v>
      </c>
      <c r="C317" s="459"/>
      <c r="D317" s="33"/>
      <c r="E317" s="33" t="s">
        <v>44</v>
      </c>
      <c r="F317" s="33"/>
      <c r="G317" s="37" t="str">
        <f>IF(ISNUMBER(Cform_volume),Nhouse*Nwash*Fwater_fabric*Cform_volume*((Fliquid*DOSEliquid)+DOSEsoftener)*Fpenetr_fabric,"??")</f>
        <v>??</v>
      </c>
      <c r="H317" s="52" t="s">
        <v>78</v>
      </c>
      <c r="I317" s="28" t="s">
        <v>7</v>
      </c>
      <c r="J317" s="50" t="s">
        <v>120</v>
      </c>
      <c r="M317" s="44"/>
      <c r="N317" s="44"/>
      <c r="O317" s="44"/>
      <c r="P317" s="44"/>
    </row>
    <row r="318" spans="2:16" s="24" customFormat="1" x14ac:dyDescent="0.2">
      <c r="B318" s="33"/>
      <c r="C318" s="33"/>
      <c r="D318" s="33"/>
      <c r="E318" s="33"/>
      <c r="F318" s="33"/>
      <c r="G318" s="33"/>
      <c r="H318" s="33"/>
      <c r="I318" s="33"/>
      <c r="J318" s="51"/>
      <c r="M318" s="44"/>
      <c r="N318" s="44"/>
      <c r="O318" s="44"/>
      <c r="P318" s="44"/>
    </row>
    <row r="319" spans="2:16" s="24" customFormat="1" x14ac:dyDescent="0.2">
      <c r="B319" s="45" t="s">
        <v>10</v>
      </c>
      <c r="J319" s="60"/>
    </row>
    <row r="320" spans="2:16" s="24" customFormat="1" ht="29.25" customHeight="1" x14ac:dyDescent="0.2">
      <c r="B320" s="438" t="s">
        <v>566</v>
      </c>
      <c r="C320" s="438"/>
      <c r="D320" s="438"/>
      <c r="E320" s="438"/>
      <c r="F320" s="438"/>
      <c r="G320" s="438"/>
      <c r="H320" s="438"/>
      <c r="I320" s="438"/>
      <c r="J320" s="438"/>
      <c r="K320" s="140"/>
    </row>
    <row r="321" spans="2:12" s="121" customFormat="1" x14ac:dyDescent="0.2">
      <c r="B321" s="235"/>
      <c r="C321" s="237"/>
      <c r="D321" s="237"/>
      <c r="E321" s="237"/>
      <c r="F321" s="237"/>
      <c r="G321" s="237"/>
      <c r="H321" s="237"/>
      <c r="I321" s="237"/>
      <c r="J321" s="237"/>
      <c r="K321" s="140"/>
    </row>
    <row r="322" spans="2:12" s="121" customFormat="1" x14ac:dyDescent="0.2">
      <c r="B322" s="254" t="s">
        <v>422</v>
      </c>
      <c r="C322" s="237"/>
      <c r="D322" s="237"/>
      <c r="E322" s="237"/>
      <c r="F322" s="237"/>
      <c r="G322" s="237"/>
      <c r="H322" s="237"/>
      <c r="I322" s="237"/>
      <c r="J322" s="237"/>
      <c r="K322" s="140"/>
    </row>
    <row r="323" spans="2:12" s="24" customFormat="1" x14ac:dyDescent="0.2">
      <c r="J323" s="60"/>
    </row>
    <row r="324" spans="2:12" s="24" customFormat="1" ht="39.75" customHeight="1" x14ac:dyDescent="0.2">
      <c r="B324" s="425" t="s">
        <v>564</v>
      </c>
      <c r="C324" s="425"/>
      <c r="D324" s="425"/>
      <c r="E324" s="425"/>
      <c r="F324" s="425"/>
      <c r="G324" s="425"/>
      <c r="H324" s="425"/>
      <c r="I324" s="425"/>
      <c r="J324" s="425"/>
    </row>
    <row r="325" spans="2:12" s="24" customFormat="1" ht="3" customHeight="1" x14ac:dyDescent="0.2">
      <c r="B325" s="22"/>
      <c r="C325" s="22"/>
      <c r="D325" s="22"/>
      <c r="E325" s="22"/>
      <c r="F325" s="22"/>
      <c r="G325" s="22"/>
      <c r="H325" s="35"/>
      <c r="I325" s="22"/>
      <c r="J325" s="22"/>
    </row>
    <row r="326" spans="2:12" s="24" customFormat="1" x14ac:dyDescent="0.2">
      <c r="B326" s="38" t="s">
        <v>8</v>
      </c>
      <c r="C326" s="49"/>
      <c r="D326" s="49"/>
      <c r="E326" s="49"/>
      <c r="F326" s="49"/>
      <c r="G326" s="49"/>
      <c r="H326" s="49"/>
      <c r="I326" s="49"/>
      <c r="J326" s="64"/>
    </row>
    <row r="327" spans="2:12" s="24" customFormat="1" x14ac:dyDescent="0.2">
      <c r="B327" s="126" t="s">
        <v>154</v>
      </c>
      <c r="C327" s="62"/>
      <c r="D327" s="62"/>
      <c r="E327" s="62"/>
      <c r="F327" s="62"/>
      <c r="G327" s="62"/>
      <c r="H327" s="62"/>
      <c r="I327" s="62"/>
      <c r="J327" s="84"/>
    </row>
    <row r="328" spans="2:12" s="24" customFormat="1" x14ac:dyDescent="0.2">
      <c r="B328" s="126" t="s">
        <v>150</v>
      </c>
      <c r="C328" s="62"/>
      <c r="D328" s="62"/>
      <c r="E328" s="62"/>
      <c r="F328" s="62"/>
      <c r="G328" s="62"/>
      <c r="H328" s="62"/>
      <c r="I328" s="62"/>
      <c r="J328" s="84"/>
      <c r="L328" s="121"/>
    </row>
    <row r="329" spans="2:12" s="24" customFormat="1" ht="3" customHeight="1" x14ac:dyDescent="0.2">
      <c r="B329" s="65"/>
      <c r="J329" s="60"/>
    </row>
    <row r="330" spans="2:12" s="24" customFormat="1" ht="15" x14ac:dyDescent="0.2">
      <c r="B330" s="27" t="s">
        <v>0</v>
      </c>
      <c r="C330" s="39"/>
      <c r="D330" s="39"/>
      <c r="E330" s="39"/>
      <c r="F330" s="39"/>
      <c r="G330" s="39"/>
      <c r="H330" s="39"/>
      <c r="I330" s="39"/>
      <c r="J330" s="40"/>
    </row>
    <row r="331" spans="2:12" s="24" customFormat="1" ht="3" customHeight="1" x14ac:dyDescent="0.2">
      <c r="B331" s="33"/>
      <c r="C331" s="33"/>
      <c r="D331" s="33"/>
      <c r="E331" s="33"/>
      <c r="F331" s="33"/>
      <c r="G331" s="33"/>
      <c r="H331" s="33"/>
      <c r="I331" s="33"/>
      <c r="J331" s="96"/>
    </row>
    <row r="332" spans="2:12" s="24" customFormat="1" ht="15" x14ac:dyDescent="0.2">
      <c r="B332" s="41" t="s">
        <v>2</v>
      </c>
      <c r="C332" s="41"/>
      <c r="D332" s="41"/>
      <c r="E332" s="42" t="s">
        <v>4</v>
      </c>
      <c r="F332" s="29"/>
      <c r="G332" s="29" t="s">
        <v>6</v>
      </c>
      <c r="H332" s="29" t="s">
        <v>3</v>
      </c>
      <c r="I332" s="29" t="s">
        <v>9</v>
      </c>
      <c r="J332" s="42" t="s">
        <v>15</v>
      </c>
    </row>
    <row r="333" spans="2:12" s="24" customFormat="1" ht="3" customHeight="1" x14ac:dyDescent="0.2">
      <c r="B333" s="33"/>
      <c r="C333" s="33"/>
      <c r="D333" s="33"/>
      <c r="E333" s="33"/>
      <c r="F333" s="33"/>
      <c r="G333" s="33"/>
      <c r="H333" s="33"/>
      <c r="I333" s="33"/>
      <c r="J333" s="96"/>
    </row>
    <row r="334" spans="2:12" s="24" customFormat="1" x14ac:dyDescent="0.2">
      <c r="B334" s="33" t="s">
        <v>34</v>
      </c>
      <c r="C334" s="33"/>
      <c r="D334" s="33"/>
      <c r="E334" s="97" t="s">
        <v>96</v>
      </c>
      <c r="F334" s="33"/>
      <c r="G334" s="28">
        <v>10000</v>
      </c>
      <c r="H334" s="28" t="s">
        <v>5</v>
      </c>
      <c r="I334" s="47" t="str">
        <f>IF(Nlocal_dish=10000, "D", "S")</f>
        <v>D</v>
      </c>
      <c r="J334" s="91"/>
    </row>
    <row r="335" spans="2:12" s="24" customFormat="1" ht="3" customHeight="1" x14ac:dyDescent="0.2">
      <c r="B335" s="33"/>
      <c r="C335" s="33"/>
      <c r="D335" s="33"/>
      <c r="E335" s="97"/>
      <c r="F335" s="33"/>
      <c r="G335" s="28"/>
      <c r="H335" s="28"/>
      <c r="I335" s="28"/>
      <c r="J335" s="96"/>
    </row>
    <row r="336" spans="2:12" s="24" customFormat="1" ht="15" x14ac:dyDescent="0.2">
      <c r="B336" s="33" t="s">
        <v>93</v>
      </c>
      <c r="C336" s="33"/>
      <c r="D336" s="33"/>
      <c r="E336" s="97" t="s">
        <v>121</v>
      </c>
      <c r="F336" s="33"/>
      <c r="G336" s="28">
        <v>2.8999999999999998E-3</v>
      </c>
      <c r="H336" s="28" t="s">
        <v>28</v>
      </c>
      <c r="I336" s="47" t="str">
        <f>IF(Vforminh_dish=0.0029, "D", "S")</f>
        <v>D</v>
      </c>
      <c r="J336" s="96"/>
    </row>
    <row r="337" spans="2:10" s="24" customFormat="1" ht="3" customHeight="1" x14ac:dyDescent="0.2">
      <c r="B337" s="33"/>
      <c r="C337" s="33"/>
      <c r="D337" s="33"/>
      <c r="E337" s="97"/>
      <c r="F337" s="33"/>
      <c r="G337" s="28"/>
      <c r="H337" s="28"/>
      <c r="I337" s="28"/>
      <c r="J337" s="96"/>
    </row>
    <row r="338" spans="2:10" s="24" customFormat="1" x14ac:dyDescent="0.2">
      <c r="B338" s="33" t="s">
        <v>29</v>
      </c>
      <c r="C338" s="33"/>
      <c r="D338" s="33"/>
      <c r="E338" s="97" t="s">
        <v>97</v>
      </c>
      <c r="F338" s="33"/>
      <c r="G338" s="28">
        <v>1</v>
      </c>
      <c r="H338" s="28" t="s">
        <v>5</v>
      </c>
      <c r="I338" s="47" t="str">
        <f>IF(Fwater_dish=1, "D", "S")</f>
        <v>D</v>
      </c>
      <c r="J338" s="96"/>
    </row>
    <row r="339" spans="2:10" s="24" customFormat="1" ht="3" customHeight="1" x14ac:dyDescent="0.2">
      <c r="B339" s="33"/>
      <c r="C339" s="33"/>
      <c r="D339" s="33"/>
      <c r="E339" s="97"/>
      <c r="F339" s="33"/>
      <c r="G339" s="28"/>
      <c r="H339" s="28"/>
      <c r="I339" s="28"/>
      <c r="J339" s="96"/>
    </row>
    <row r="340" spans="2:10" s="24" customFormat="1" ht="15" x14ac:dyDescent="0.2">
      <c r="B340" s="33" t="s">
        <v>94</v>
      </c>
      <c r="C340" s="33"/>
      <c r="D340" s="33"/>
      <c r="E340" s="97" t="s">
        <v>122</v>
      </c>
      <c r="F340" s="33"/>
      <c r="G340" s="31"/>
      <c r="H340" s="28" t="s">
        <v>27</v>
      </c>
      <c r="I340" s="47" t="s">
        <v>18</v>
      </c>
      <c r="J340" s="96"/>
    </row>
    <row r="341" spans="2:10" s="24" customFormat="1" ht="3" customHeight="1" x14ac:dyDescent="0.2">
      <c r="B341" s="33"/>
      <c r="C341" s="33"/>
      <c r="D341" s="33"/>
      <c r="E341" s="97"/>
      <c r="F341" s="33"/>
      <c r="G341" s="28"/>
      <c r="H341" s="28"/>
      <c r="I341" s="28"/>
      <c r="J341" s="96"/>
    </row>
    <row r="342" spans="2:10" s="24" customFormat="1" ht="15" x14ac:dyDescent="0.2">
      <c r="B342" s="33" t="s">
        <v>89</v>
      </c>
      <c r="C342" s="33"/>
      <c r="D342" s="33"/>
      <c r="E342" s="97" t="s">
        <v>100</v>
      </c>
      <c r="F342" s="33"/>
      <c r="G342" s="28">
        <v>0.5</v>
      </c>
      <c r="H342" s="28" t="s">
        <v>5</v>
      </c>
      <c r="I342" s="63" t="str">
        <f>IF(Fpenetr_dish=0.5, "D", "S")</f>
        <v>D</v>
      </c>
      <c r="J342" s="91"/>
    </row>
    <row r="343" spans="2:10" s="24" customFormat="1" ht="3" customHeight="1" x14ac:dyDescent="0.2">
      <c r="B343" s="33"/>
      <c r="C343" s="33"/>
      <c r="D343" s="33"/>
      <c r="E343" s="33"/>
      <c r="F343" s="33"/>
      <c r="G343" s="33"/>
      <c r="H343" s="33"/>
      <c r="I343" s="33"/>
      <c r="J343" s="96"/>
    </row>
    <row r="344" spans="2:10" s="24" customFormat="1" ht="15" x14ac:dyDescent="0.2">
      <c r="B344" s="27" t="s">
        <v>1</v>
      </c>
      <c r="C344" s="39"/>
      <c r="D344" s="39"/>
      <c r="E344" s="39"/>
      <c r="F344" s="39"/>
      <c r="G344" s="39"/>
      <c r="H344" s="39"/>
      <c r="I344" s="39"/>
      <c r="J344" s="40"/>
    </row>
    <row r="345" spans="2:10" s="24" customFormat="1" ht="3" customHeight="1" x14ac:dyDescent="0.2">
      <c r="B345" s="33"/>
      <c r="C345" s="33"/>
      <c r="D345" s="33"/>
      <c r="E345" s="33"/>
      <c r="F345" s="33"/>
      <c r="G345" s="33"/>
      <c r="H345" s="33"/>
      <c r="I345" s="33"/>
      <c r="J345" s="96"/>
    </row>
    <row r="346" spans="2:10" s="24" customFormat="1" ht="15" x14ac:dyDescent="0.2">
      <c r="B346" s="41" t="s">
        <v>2</v>
      </c>
      <c r="C346" s="41"/>
      <c r="D346" s="41"/>
      <c r="E346" s="42" t="s">
        <v>4</v>
      </c>
      <c r="F346" s="29"/>
      <c r="G346" s="29" t="s">
        <v>6</v>
      </c>
      <c r="H346" s="29" t="s">
        <v>3</v>
      </c>
      <c r="I346" s="29" t="s">
        <v>9</v>
      </c>
      <c r="J346" s="42" t="s">
        <v>15</v>
      </c>
    </row>
    <row r="347" spans="2:10" s="24" customFormat="1" ht="3" customHeight="1" x14ac:dyDescent="0.2">
      <c r="B347" s="41"/>
      <c r="C347" s="41"/>
      <c r="D347" s="41"/>
      <c r="E347" s="42"/>
      <c r="F347" s="29"/>
      <c r="G347" s="29"/>
      <c r="H347" s="29"/>
      <c r="I347" s="29"/>
      <c r="J347" s="42"/>
    </row>
    <row r="348" spans="2:10" s="24" customFormat="1" ht="25.5" x14ac:dyDescent="0.2">
      <c r="B348" s="459" t="s">
        <v>87</v>
      </c>
      <c r="C348" s="459"/>
      <c r="D348" s="33"/>
      <c r="E348" s="33" t="s">
        <v>44</v>
      </c>
      <c r="F348" s="33"/>
      <c r="G348" s="37" t="str">
        <f>IF(ISNUMBER(Cformvolume_dish),Nlocal_dish*Vforminh_dish*Fwater_dish*Cformvolume_dish*Fpenetr_dish,"??")</f>
        <v>??</v>
      </c>
      <c r="H348" s="52" t="s">
        <v>78</v>
      </c>
      <c r="I348" s="28" t="s">
        <v>7</v>
      </c>
      <c r="J348" s="50" t="s">
        <v>123</v>
      </c>
    </row>
    <row r="349" spans="2:10" s="24" customFormat="1" x14ac:dyDescent="0.2">
      <c r="B349" s="33"/>
      <c r="C349" s="33"/>
      <c r="D349" s="33"/>
      <c r="E349" s="33"/>
      <c r="F349" s="33"/>
      <c r="G349" s="33"/>
      <c r="H349" s="33"/>
      <c r="I349" s="33"/>
      <c r="J349" s="96"/>
    </row>
    <row r="350" spans="2:10" s="24" customFormat="1" x14ac:dyDescent="0.2">
      <c r="B350" s="45" t="s">
        <v>10</v>
      </c>
      <c r="J350" s="60"/>
    </row>
    <row r="351" spans="2:10" s="24" customFormat="1" ht="29.25" customHeight="1" x14ac:dyDescent="0.2">
      <c r="B351" s="438" t="s">
        <v>566</v>
      </c>
      <c r="C351" s="438"/>
      <c r="D351" s="438"/>
      <c r="E351" s="438"/>
      <c r="F351" s="438"/>
      <c r="G351" s="438"/>
      <c r="H351" s="438"/>
      <c r="I351" s="438"/>
      <c r="J351" s="438"/>
    </row>
    <row r="352" spans="2:10" s="121" customFormat="1" x14ac:dyDescent="0.2">
      <c r="B352" s="235"/>
      <c r="C352" s="237"/>
      <c r="D352" s="237"/>
      <c r="E352" s="237"/>
      <c r="F352" s="237"/>
      <c r="G352" s="237"/>
      <c r="H352" s="237"/>
      <c r="I352" s="237"/>
      <c r="J352" s="237"/>
    </row>
    <row r="353" spans="2:10" s="121" customFormat="1" x14ac:dyDescent="0.2">
      <c r="B353" s="254" t="s">
        <v>422</v>
      </c>
      <c r="C353" s="237"/>
      <c r="D353" s="237"/>
      <c r="E353" s="237"/>
      <c r="F353" s="237"/>
      <c r="G353" s="237"/>
      <c r="H353" s="237"/>
      <c r="I353" s="237"/>
      <c r="J353" s="237"/>
    </row>
    <row r="354" spans="2:10" s="24" customFormat="1" x14ac:dyDescent="0.2">
      <c r="J354" s="60"/>
    </row>
    <row r="355" spans="2:10" s="24" customFormat="1" ht="38.25" customHeight="1" x14ac:dyDescent="0.2">
      <c r="B355" s="425" t="s">
        <v>565</v>
      </c>
      <c r="C355" s="425"/>
      <c r="D355" s="425"/>
      <c r="E355" s="425"/>
      <c r="F355" s="425"/>
      <c r="G355" s="425"/>
      <c r="H355" s="425"/>
      <c r="I355" s="425"/>
      <c r="J355" s="425"/>
    </row>
    <row r="356" spans="2:10" s="24" customFormat="1" ht="3" customHeight="1" x14ac:dyDescent="0.2">
      <c r="B356" s="22"/>
      <c r="C356" s="22"/>
      <c r="D356" s="22"/>
      <c r="E356" s="22"/>
      <c r="F356" s="22"/>
      <c r="G356" s="22"/>
      <c r="H356" s="35"/>
      <c r="I356" s="22"/>
      <c r="J356" s="22"/>
    </row>
    <row r="357" spans="2:10" s="24" customFormat="1" x14ac:dyDescent="0.2">
      <c r="B357" s="38" t="s">
        <v>8</v>
      </c>
      <c r="C357" s="49"/>
      <c r="D357" s="49"/>
      <c r="E357" s="49"/>
      <c r="F357" s="49"/>
      <c r="G357" s="49"/>
      <c r="H357" s="49"/>
      <c r="I357" s="49"/>
      <c r="J357" s="64"/>
    </row>
    <row r="358" spans="2:10" s="24" customFormat="1" x14ac:dyDescent="0.2">
      <c r="B358" s="126" t="s">
        <v>157</v>
      </c>
      <c r="C358" s="62"/>
      <c r="D358" s="62"/>
      <c r="E358" s="62"/>
      <c r="F358" s="62"/>
      <c r="G358" s="62"/>
      <c r="H358" s="62"/>
      <c r="I358" s="62"/>
      <c r="J358" s="84"/>
    </row>
    <row r="359" spans="2:10" s="24" customFormat="1" x14ac:dyDescent="0.2">
      <c r="B359" s="126" t="s">
        <v>150</v>
      </c>
      <c r="C359" s="62"/>
      <c r="D359" s="62"/>
      <c r="E359" s="62"/>
      <c r="F359" s="62"/>
      <c r="G359" s="62"/>
      <c r="H359" s="62"/>
      <c r="I359" s="62"/>
      <c r="J359" s="84"/>
    </row>
    <row r="360" spans="2:10" s="24" customFormat="1" ht="3" customHeight="1" x14ac:dyDescent="0.2">
      <c r="B360" s="65"/>
      <c r="J360" s="60"/>
    </row>
    <row r="361" spans="2:10" s="24" customFormat="1" ht="15" x14ac:dyDescent="0.2">
      <c r="B361" s="27" t="s">
        <v>0</v>
      </c>
      <c r="C361" s="39"/>
      <c r="D361" s="39"/>
      <c r="E361" s="39"/>
      <c r="F361" s="39"/>
      <c r="G361" s="39"/>
      <c r="H361" s="39"/>
      <c r="I361" s="39"/>
      <c r="J361" s="40"/>
    </row>
    <row r="362" spans="2:10" s="24" customFormat="1" ht="3" customHeight="1" x14ac:dyDescent="0.2">
      <c r="B362" s="33"/>
      <c r="C362" s="33"/>
      <c r="D362" s="33"/>
      <c r="E362" s="33"/>
      <c r="F362" s="33"/>
      <c r="G362" s="33"/>
      <c r="H362" s="33"/>
      <c r="I362" s="33"/>
      <c r="J362" s="96"/>
    </row>
    <row r="363" spans="2:10" s="24" customFormat="1" ht="15" x14ac:dyDescent="0.2">
      <c r="B363" s="41" t="s">
        <v>2</v>
      </c>
      <c r="C363" s="41"/>
      <c r="D363" s="41"/>
      <c r="E363" s="42" t="s">
        <v>4</v>
      </c>
      <c r="F363" s="29"/>
      <c r="G363" s="29" t="s">
        <v>6</v>
      </c>
      <c r="H363" s="29" t="s">
        <v>3</v>
      </c>
      <c r="I363" s="29" t="s">
        <v>9</v>
      </c>
      <c r="J363" s="42" t="s">
        <v>15</v>
      </c>
    </row>
    <row r="364" spans="2:10" s="24" customFormat="1" ht="3" customHeight="1" x14ac:dyDescent="0.2">
      <c r="B364" s="33"/>
      <c r="C364" s="33"/>
      <c r="D364" s="33"/>
      <c r="E364" s="33"/>
      <c r="F364" s="33"/>
      <c r="G364" s="33"/>
      <c r="H364" s="33"/>
      <c r="I364" s="33"/>
      <c r="J364" s="96"/>
    </row>
    <row r="365" spans="2:10" s="24" customFormat="1" x14ac:dyDescent="0.2">
      <c r="B365" s="33" t="s">
        <v>34</v>
      </c>
      <c r="C365" s="33"/>
      <c r="D365" s="33"/>
      <c r="E365" s="97" t="s">
        <v>96</v>
      </c>
      <c r="F365" s="33"/>
      <c r="G365" s="28">
        <v>10000</v>
      </c>
      <c r="H365" s="28" t="s">
        <v>5</v>
      </c>
      <c r="I365" s="47" t="str">
        <f>IF(Nlocal_sanitary=10000, "D", "S")</f>
        <v>D</v>
      </c>
      <c r="J365" s="91"/>
    </row>
    <row r="366" spans="2:10" s="24" customFormat="1" ht="3" customHeight="1" x14ac:dyDescent="0.2">
      <c r="B366" s="33"/>
      <c r="C366" s="33"/>
      <c r="D366" s="33"/>
      <c r="E366" s="97"/>
      <c r="F366" s="33"/>
      <c r="G366" s="28"/>
      <c r="H366" s="28"/>
      <c r="I366" s="28"/>
      <c r="J366" s="96"/>
    </row>
    <row r="367" spans="2:10" s="24" customFormat="1" x14ac:dyDescent="0.2">
      <c r="B367" s="33" t="s">
        <v>29</v>
      </c>
      <c r="C367" s="33"/>
      <c r="D367" s="33"/>
      <c r="E367" s="97" t="s">
        <v>97</v>
      </c>
      <c r="F367" s="33"/>
      <c r="G367" s="28">
        <v>1</v>
      </c>
      <c r="H367" s="28" t="s">
        <v>5</v>
      </c>
      <c r="I367" s="47" t="str">
        <f>IF(Fwater_sanitary=1, "D", "S")</f>
        <v>D</v>
      </c>
      <c r="J367" s="96"/>
    </row>
    <row r="368" spans="2:10" s="24" customFormat="1" ht="3" customHeight="1" x14ac:dyDescent="0.2">
      <c r="B368" s="33"/>
      <c r="C368" s="33"/>
      <c r="D368" s="33"/>
      <c r="E368" s="97"/>
      <c r="F368" s="33"/>
      <c r="G368" s="28"/>
      <c r="H368" s="28"/>
      <c r="I368" s="28"/>
      <c r="J368" s="96"/>
    </row>
    <row r="369" spans="2:10" s="24" customFormat="1" ht="15" x14ac:dyDescent="0.2">
      <c r="B369" s="33" t="s">
        <v>26</v>
      </c>
      <c r="C369" s="33"/>
      <c r="D369" s="33"/>
      <c r="E369" s="97" t="s">
        <v>68</v>
      </c>
      <c r="F369" s="33"/>
      <c r="G369" s="31"/>
      <c r="H369" s="28" t="s">
        <v>126</v>
      </c>
      <c r="I369" s="28" t="s">
        <v>18</v>
      </c>
      <c r="J369" s="96"/>
    </row>
    <row r="370" spans="2:10" s="24" customFormat="1" ht="3" customHeight="1" x14ac:dyDescent="0.2">
      <c r="B370" s="33"/>
      <c r="C370" s="33"/>
      <c r="D370" s="33"/>
      <c r="E370" s="97"/>
      <c r="F370" s="33"/>
      <c r="G370" s="28"/>
      <c r="H370" s="28"/>
      <c r="I370" s="28"/>
      <c r="J370" s="96"/>
    </row>
    <row r="371" spans="2:10" s="24" customFormat="1" ht="15" x14ac:dyDescent="0.2">
      <c r="B371" s="33" t="s">
        <v>124</v>
      </c>
      <c r="C371" s="33"/>
      <c r="D371" s="33"/>
      <c r="E371" s="97" t="s">
        <v>125</v>
      </c>
      <c r="F371" s="33"/>
      <c r="G371" s="28">
        <v>10</v>
      </c>
      <c r="H371" s="28" t="s">
        <v>127</v>
      </c>
      <c r="I371" s="63" t="str">
        <f>IF(Qform_sanitary=10, "D", "S")</f>
        <v>D</v>
      </c>
      <c r="J371" s="96"/>
    </row>
    <row r="372" spans="2:10" s="24" customFormat="1" ht="3" customHeight="1" x14ac:dyDescent="0.2">
      <c r="B372" s="33"/>
      <c r="C372" s="33"/>
      <c r="D372" s="33"/>
      <c r="E372" s="97"/>
      <c r="F372" s="33"/>
      <c r="G372" s="28"/>
      <c r="H372" s="28"/>
      <c r="I372" s="47"/>
      <c r="J372" s="96"/>
    </row>
    <row r="373" spans="2:10" s="24" customFormat="1" ht="30" customHeight="1" x14ac:dyDescent="0.2">
      <c r="B373" s="431" t="s">
        <v>128</v>
      </c>
      <c r="C373" s="431"/>
      <c r="D373" s="33"/>
      <c r="E373" s="97" t="s">
        <v>113</v>
      </c>
      <c r="F373" s="33"/>
      <c r="G373" s="28">
        <v>0</v>
      </c>
      <c r="H373" s="28" t="s">
        <v>5</v>
      </c>
      <c r="I373" s="63" t="str">
        <f>IF(Fdis_sanitary=0, "D", "S")</f>
        <v>D</v>
      </c>
      <c r="J373" s="96"/>
    </row>
    <row r="374" spans="2:10" s="24" customFormat="1" ht="3" customHeight="1" x14ac:dyDescent="0.2">
      <c r="B374" s="33"/>
      <c r="C374" s="33"/>
      <c r="D374" s="33"/>
      <c r="E374" s="97"/>
      <c r="F374" s="33"/>
      <c r="G374" s="28"/>
      <c r="H374" s="28"/>
      <c r="I374" s="28"/>
      <c r="J374" s="96"/>
    </row>
    <row r="375" spans="2:10" s="24" customFormat="1" ht="15" x14ac:dyDescent="0.2">
      <c r="B375" s="33" t="s">
        <v>90</v>
      </c>
      <c r="C375" s="33"/>
      <c r="D375" s="33"/>
      <c r="E375" s="97" t="s">
        <v>100</v>
      </c>
      <c r="F375" s="33"/>
      <c r="G375" s="28">
        <v>0.5</v>
      </c>
      <c r="H375" s="28" t="s">
        <v>5</v>
      </c>
      <c r="I375" s="63" t="str">
        <f>IF(Fpenetr_sanitary=0.5, "D", "S")</f>
        <v>D</v>
      </c>
      <c r="J375" s="91"/>
    </row>
    <row r="376" spans="2:10" s="24" customFormat="1" ht="3" customHeight="1" x14ac:dyDescent="0.2">
      <c r="B376" s="33"/>
      <c r="C376" s="33"/>
      <c r="D376" s="33"/>
      <c r="E376" s="33"/>
      <c r="F376" s="33"/>
      <c r="G376" s="33"/>
      <c r="H376" s="33"/>
      <c r="I376" s="33"/>
      <c r="J376" s="96"/>
    </row>
    <row r="377" spans="2:10" s="24" customFormat="1" ht="15" x14ac:dyDescent="0.2">
      <c r="B377" s="27" t="s">
        <v>1</v>
      </c>
      <c r="C377" s="39"/>
      <c r="D377" s="39"/>
      <c r="E377" s="39"/>
      <c r="F377" s="39"/>
      <c r="G377" s="39"/>
      <c r="H377" s="39"/>
      <c r="I377" s="39"/>
      <c r="J377" s="40"/>
    </row>
    <row r="378" spans="2:10" s="24" customFormat="1" ht="3" customHeight="1" x14ac:dyDescent="0.2">
      <c r="B378" s="33"/>
      <c r="C378" s="33"/>
      <c r="D378" s="33"/>
      <c r="E378" s="33"/>
      <c r="F378" s="33"/>
      <c r="G378" s="33"/>
      <c r="H378" s="33"/>
      <c r="I378" s="33"/>
      <c r="J378" s="96"/>
    </row>
    <row r="379" spans="2:10" s="24" customFormat="1" ht="15" x14ac:dyDescent="0.2">
      <c r="B379" s="41" t="s">
        <v>2</v>
      </c>
      <c r="C379" s="41"/>
      <c r="D379" s="41"/>
      <c r="E379" s="42" t="s">
        <v>4</v>
      </c>
      <c r="F379" s="29"/>
      <c r="G379" s="29" t="s">
        <v>6</v>
      </c>
      <c r="H379" s="29" t="s">
        <v>3</v>
      </c>
      <c r="I379" s="29" t="s">
        <v>9</v>
      </c>
      <c r="J379" s="42" t="s">
        <v>15</v>
      </c>
    </row>
    <row r="380" spans="2:10" s="24" customFormat="1" ht="3" customHeight="1" x14ac:dyDescent="0.2">
      <c r="B380" s="41"/>
      <c r="C380" s="41"/>
      <c r="D380" s="41"/>
      <c r="E380" s="42"/>
      <c r="F380" s="29"/>
      <c r="G380" s="29"/>
      <c r="H380" s="29"/>
      <c r="I380" s="29"/>
      <c r="J380" s="42"/>
    </row>
    <row r="381" spans="2:10" s="24" customFormat="1" ht="25.5" x14ac:dyDescent="0.2">
      <c r="B381" s="459" t="s">
        <v>129</v>
      </c>
      <c r="C381" s="459"/>
      <c r="D381" s="33"/>
      <c r="E381" s="33" t="s">
        <v>44</v>
      </c>
      <c r="F381" s="33"/>
      <c r="G381" s="37" t="str">
        <f>IF(ISNUMBER(Cform_sanitary),Nlocal_sanitary*Qform_sanitary*Cform_sanitary*Fpenetr_sanitary*(1-Fdis_sanitary)*Fwater_sanitary*0.001,"??")</f>
        <v>??</v>
      </c>
      <c r="H381" s="52" t="s">
        <v>78</v>
      </c>
      <c r="I381" s="28" t="s">
        <v>7</v>
      </c>
      <c r="J381" s="50" t="s">
        <v>706</v>
      </c>
    </row>
    <row r="382" spans="2:10" s="24" customFormat="1" x14ac:dyDescent="0.2">
      <c r="B382" s="33"/>
      <c r="C382" s="33"/>
      <c r="D382" s="33"/>
      <c r="E382" s="33"/>
      <c r="F382" s="33"/>
      <c r="G382" s="33"/>
      <c r="H382" s="33"/>
      <c r="I382" s="33"/>
      <c r="J382" s="96"/>
    </row>
    <row r="383" spans="2:10" s="24" customFormat="1" x14ac:dyDescent="0.2">
      <c r="B383" s="45" t="s">
        <v>10</v>
      </c>
      <c r="J383" s="60"/>
    </row>
    <row r="384" spans="2:10" s="24" customFormat="1" x14ac:dyDescent="0.2">
      <c r="B384" s="438" t="s">
        <v>155</v>
      </c>
      <c r="C384" s="438"/>
      <c r="D384" s="438"/>
      <c r="E384" s="438"/>
      <c r="F384" s="438"/>
      <c r="G384" s="438"/>
      <c r="H384" s="438"/>
      <c r="I384" s="438"/>
      <c r="J384" s="438"/>
    </row>
    <row r="385" spans="2:11" s="24" customFormat="1" ht="26.25" customHeight="1" x14ac:dyDescent="0.2">
      <c r="B385" s="438" t="s">
        <v>544</v>
      </c>
      <c r="C385" s="438"/>
      <c r="D385" s="438"/>
      <c r="E385" s="438"/>
      <c r="F385" s="438"/>
      <c r="G385" s="438"/>
      <c r="H385" s="438"/>
      <c r="I385" s="438"/>
      <c r="J385" s="438"/>
      <c r="K385" s="140"/>
    </row>
    <row r="386" spans="2:11" s="24" customFormat="1" x14ac:dyDescent="0.2">
      <c r="J386" s="60"/>
    </row>
    <row r="387" spans="2:11" s="24" customFormat="1" x14ac:dyDescent="0.2">
      <c r="B387" s="254" t="s">
        <v>422</v>
      </c>
      <c r="J387" s="60"/>
    </row>
    <row r="388" spans="2:11" s="24" customFormat="1" x14ac:dyDescent="0.2">
      <c r="J388" s="60"/>
    </row>
    <row r="389" spans="2:11" s="24" customFormat="1" x14ac:dyDescent="0.2">
      <c r="J389" s="60"/>
    </row>
    <row r="390" spans="2:11" s="24" customFormat="1" x14ac:dyDescent="0.2">
      <c r="J390" s="60"/>
    </row>
    <row r="391" spans="2:11" s="24" customFormat="1" x14ac:dyDescent="0.2">
      <c r="J391" s="60"/>
    </row>
    <row r="392" spans="2:11" s="24" customFormat="1" x14ac:dyDescent="0.2">
      <c r="J392" s="60"/>
    </row>
    <row r="393" spans="2:11" s="24" customFormat="1" x14ac:dyDescent="0.2">
      <c r="J393" s="60"/>
    </row>
    <row r="394" spans="2:11" s="24" customFormat="1" x14ac:dyDescent="0.2">
      <c r="J394" s="60"/>
    </row>
    <row r="395" spans="2:11" s="24" customFormat="1" x14ac:dyDescent="0.2">
      <c r="J395" s="60"/>
    </row>
    <row r="396" spans="2:11" s="24" customFormat="1" x14ac:dyDescent="0.2">
      <c r="J396" s="60"/>
    </row>
    <row r="397" spans="2:11" s="24" customFormat="1" x14ac:dyDescent="0.2">
      <c r="J397" s="60"/>
    </row>
    <row r="398" spans="2:11" s="24" customFormat="1" x14ac:dyDescent="0.2">
      <c r="J398" s="60"/>
    </row>
    <row r="399" spans="2:11" s="24" customFormat="1" x14ac:dyDescent="0.2">
      <c r="J399" s="60"/>
    </row>
    <row r="400" spans="2:11" s="24" customFormat="1" x14ac:dyDescent="0.2">
      <c r="J400" s="60"/>
    </row>
    <row r="401" spans="10:10" s="24" customFormat="1" x14ac:dyDescent="0.2">
      <c r="J401" s="60"/>
    </row>
    <row r="402" spans="10:10" s="24" customFormat="1" x14ac:dyDescent="0.2">
      <c r="J402" s="60"/>
    </row>
    <row r="403" spans="10:10" s="24" customFormat="1" x14ac:dyDescent="0.2">
      <c r="J403" s="60"/>
    </row>
    <row r="404" spans="10:10" s="24" customFormat="1" x14ac:dyDescent="0.2">
      <c r="J404" s="60"/>
    </row>
    <row r="405" spans="10:10" s="24" customFormat="1" x14ac:dyDescent="0.2">
      <c r="J405" s="60"/>
    </row>
    <row r="406" spans="10:10" s="24" customFormat="1" x14ac:dyDescent="0.2">
      <c r="J406" s="60"/>
    </row>
    <row r="407" spans="10:10" s="24" customFormat="1" x14ac:dyDescent="0.2">
      <c r="J407" s="60"/>
    </row>
    <row r="408" spans="10:10" s="24" customFormat="1" x14ac:dyDescent="0.2">
      <c r="J408" s="60"/>
    </row>
    <row r="409" spans="10:10" s="24" customFormat="1" x14ac:dyDescent="0.2">
      <c r="J409" s="60"/>
    </row>
    <row r="410" spans="10:10" s="24" customFormat="1" x14ac:dyDescent="0.2">
      <c r="J410" s="60"/>
    </row>
    <row r="411" spans="10:10" s="24" customFormat="1" x14ac:dyDescent="0.2">
      <c r="J411" s="60"/>
    </row>
    <row r="412" spans="10:10" s="24" customFormat="1" x14ac:dyDescent="0.2">
      <c r="J412" s="60"/>
    </row>
    <row r="413" spans="10:10" s="24" customFormat="1" x14ac:dyDescent="0.2">
      <c r="J413" s="60"/>
    </row>
    <row r="414" spans="10:10" s="24" customFormat="1" x14ac:dyDescent="0.2">
      <c r="J414" s="60"/>
    </row>
    <row r="415" spans="10:10" s="24" customFormat="1" x14ac:dyDescent="0.2">
      <c r="J415" s="60"/>
    </row>
    <row r="416" spans="10:10" s="24" customFormat="1" x14ac:dyDescent="0.2">
      <c r="J416" s="60"/>
    </row>
    <row r="417" spans="10:10" s="24" customFormat="1" x14ac:dyDescent="0.2">
      <c r="J417" s="60"/>
    </row>
    <row r="418" spans="10:10" s="24" customFormat="1" x14ac:dyDescent="0.2">
      <c r="J418" s="60"/>
    </row>
    <row r="419" spans="10:10" s="24" customFormat="1" x14ac:dyDescent="0.2">
      <c r="J419" s="60"/>
    </row>
    <row r="420" spans="10:10" s="24" customFormat="1" x14ac:dyDescent="0.2">
      <c r="J420" s="60"/>
    </row>
    <row r="421" spans="10:10" s="24" customFormat="1" x14ac:dyDescent="0.2">
      <c r="J421" s="60"/>
    </row>
    <row r="422" spans="10:10" s="24" customFormat="1" x14ac:dyDescent="0.2">
      <c r="J422" s="60"/>
    </row>
    <row r="423" spans="10:10" s="24" customFormat="1" x14ac:dyDescent="0.2">
      <c r="J423" s="60"/>
    </row>
    <row r="424" spans="10:10" s="24" customFormat="1" x14ac:dyDescent="0.2">
      <c r="J424" s="60"/>
    </row>
    <row r="425" spans="10:10" s="24" customFormat="1" x14ac:dyDescent="0.2">
      <c r="J425" s="60"/>
    </row>
    <row r="426" spans="10:10" s="24" customFormat="1" x14ac:dyDescent="0.2">
      <c r="J426" s="60"/>
    </row>
    <row r="427" spans="10:10" s="24" customFormat="1" x14ac:dyDescent="0.2">
      <c r="J427" s="60"/>
    </row>
    <row r="428" spans="10:10" s="24" customFormat="1" x14ac:dyDescent="0.2">
      <c r="J428" s="60"/>
    </row>
    <row r="429" spans="10:10" s="24" customFormat="1" x14ac:dyDescent="0.2">
      <c r="J429" s="60"/>
    </row>
    <row r="430" spans="10:10" s="24" customFormat="1" x14ac:dyDescent="0.2">
      <c r="J430" s="60"/>
    </row>
    <row r="431" spans="10:10" s="24" customFormat="1" x14ac:dyDescent="0.2">
      <c r="J431" s="60"/>
    </row>
    <row r="432" spans="10:10" s="24" customFormat="1" x14ac:dyDescent="0.2">
      <c r="J432" s="60"/>
    </row>
    <row r="433" spans="10:10" s="24" customFormat="1" x14ac:dyDescent="0.2">
      <c r="J433" s="60"/>
    </row>
    <row r="434" spans="10:10" s="24" customFormat="1" x14ac:dyDescent="0.2">
      <c r="J434" s="60"/>
    </row>
    <row r="435" spans="10:10" s="24" customFormat="1" x14ac:dyDescent="0.2">
      <c r="J435" s="60"/>
    </row>
    <row r="436" spans="10:10" s="24" customFormat="1" x14ac:dyDescent="0.2">
      <c r="J436" s="60"/>
    </row>
    <row r="437" spans="10:10" s="24" customFormat="1" x14ac:dyDescent="0.2">
      <c r="J437" s="60"/>
    </row>
    <row r="438" spans="10:10" s="24" customFormat="1" x14ac:dyDescent="0.2">
      <c r="J438" s="60"/>
    </row>
    <row r="439" spans="10:10" s="24" customFormat="1" x14ac:dyDescent="0.2">
      <c r="J439" s="60"/>
    </row>
    <row r="440" spans="10:10" s="24" customFormat="1" x14ac:dyDescent="0.2">
      <c r="J440" s="60"/>
    </row>
    <row r="441" spans="10:10" s="24" customFormat="1" x14ac:dyDescent="0.2">
      <c r="J441" s="60"/>
    </row>
    <row r="442" spans="10:10" s="24" customFormat="1" x14ac:dyDescent="0.2">
      <c r="J442" s="60"/>
    </row>
    <row r="443" spans="10:10" s="24" customFormat="1" x14ac:dyDescent="0.2">
      <c r="J443" s="60"/>
    </row>
    <row r="444" spans="10:10" s="24" customFormat="1" x14ac:dyDescent="0.2">
      <c r="J444" s="60"/>
    </row>
    <row r="445" spans="10:10" s="24" customFormat="1" x14ac:dyDescent="0.2">
      <c r="J445" s="60"/>
    </row>
    <row r="446" spans="10:10" s="24" customFormat="1" x14ac:dyDescent="0.2">
      <c r="J446" s="60"/>
    </row>
    <row r="447" spans="10:10" s="24" customFormat="1" x14ac:dyDescent="0.2">
      <c r="J447" s="60"/>
    </row>
    <row r="448" spans="10:10" s="24" customFormat="1" x14ac:dyDescent="0.2">
      <c r="J448" s="60"/>
    </row>
    <row r="449" spans="10:10" s="24" customFormat="1" x14ac:dyDescent="0.2">
      <c r="J449" s="60"/>
    </row>
    <row r="450" spans="10:10" s="24" customFormat="1" x14ac:dyDescent="0.2">
      <c r="J450" s="60"/>
    </row>
    <row r="451" spans="10:10" s="24" customFormat="1" x14ac:dyDescent="0.2">
      <c r="J451" s="60"/>
    </row>
    <row r="452" spans="10:10" s="24" customFormat="1" x14ac:dyDescent="0.2">
      <c r="J452" s="60"/>
    </row>
    <row r="453" spans="10:10" s="24" customFormat="1" x14ac:dyDescent="0.2">
      <c r="J453" s="60"/>
    </row>
    <row r="454" spans="10:10" s="24" customFormat="1" x14ac:dyDescent="0.2">
      <c r="J454" s="60"/>
    </row>
    <row r="455" spans="10:10" s="24" customFormat="1" x14ac:dyDescent="0.2">
      <c r="J455" s="60"/>
    </row>
    <row r="456" spans="10:10" s="24" customFormat="1" x14ac:dyDescent="0.2">
      <c r="J456" s="60"/>
    </row>
    <row r="457" spans="10:10" s="24" customFormat="1" x14ac:dyDescent="0.2">
      <c r="J457" s="60"/>
    </row>
    <row r="458" spans="10:10" s="24" customFormat="1" x14ac:dyDescent="0.2">
      <c r="J458" s="60"/>
    </row>
    <row r="459" spans="10:10" s="24" customFormat="1" x14ac:dyDescent="0.2">
      <c r="J459" s="60"/>
    </row>
    <row r="460" spans="10:10" s="24" customFormat="1" x14ac:dyDescent="0.2">
      <c r="J460" s="60"/>
    </row>
    <row r="461" spans="10:10" s="24" customFormat="1" x14ac:dyDescent="0.2">
      <c r="J461" s="60"/>
    </row>
    <row r="462" spans="10:10" s="24" customFormat="1" x14ac:dyDescent="0.2">
      <c r="J462" s="60"/>
    </row>
    <row r="463" spans="10:10" s="24" customFormat="1" x14ac:dyDescent="0.2">
      <c r="J463" s="60"/>
    </row>
    <row r="464" spans="10:10" s="24" customFormat="1" x14ac:dyDescent="0.2">
      <c r="J464" s="60"/>
    </row>
    <row r="465" spans="10:10" s="24" customFormat="1" x14ac:dyDescent="0.2">
      <c r="J465" s="60"/>
    </row>
    <row r="466" spans="10:10" s="24" customFormat="1" x14ac:dyDescent="0.2">
      <c r="J466" s="60"/>
    </row>
    <row r="467" spans="10:10" s="24" customFormat="1" x14ac:dyDescent="0.2">
      <c r="J467" s="60"/>
    </row>
    <row r="468" spans="10:10" s="24" customFormat="1" x14ac:dyDescent="0.2">
      <c r="J468" s="60"/>
    </row>
    <row r="469" spans="10:10" s="24" customFormat="1" x14ac:dyDescent="0.2">
      <c r="J469" s="60"/>
    </row>
    <row r="470" spans="10:10" s="24" customFormat="1" x14ac:dyDescent="0.2">
      <c r="J470" s="60"/>
    </row>
    <row r="471" spans="10:10" s="24" customFormat="1" x14ac:dyDescent="0.2">
      <c r="J471" s="60"/>
    </row>
    <row r="472" spans="10:10" s="24" customFormat="1" x14ac:dyDescent="0.2">
      <c r="J472" s="60"/>
    </row>
    <row r="473" spans="10:10" s="24" customFormat="1" x14ac:dyDescent="0.2">
      <c r="J473" s="60"/>
    </row>
    <row r="474" spans="10:10" s="24" customFormat="1" x14ac:dyDescent="0.2">
      <c r="J474" s="60"/>
    </row>
    <row r="475" spans="10:10" s="24" customFormat="1" x14ac:dyDescent="0.2">
      <c r="J475" s="60"/>
    </row>
    <row r="476" spans="10:10" s="24" customFormat="1" x14ac:dyDescent="0.2">
      <c r="J476" s="60"/>
    </row>
    <row r="477" spans="10:10" s="24" customFormat="1" x14ac:dyDescent="0.2">
      <c r="J477" s="60"/>
    </row>
    <row r="478" spans="10:10" s="24" customFormat="1" x14ac:dyDescent="0.2">
      <c r="J478" s="60"/>
    </row>
    <row r="479" spans="10:10" s="24" customFormat="1" x14ac:dyDescent="0.2">
      <c r="J479" s="60"/>
    </row>
    <row r="480" spans="10:10" s="24" customFormat="1" x14ac:dyDescent="0.2">
      <c r="J480" s="60"/>
    </row>
    <row r="481" spans="10:10" s="24" customFormat="1" x14ac:dyDescent="0.2">
      <c r="J481" s="60"/>
    </row>
    <row r="482" spans="10:10" s="24" customFormat="1" x14ac:dyDescent="0.2">
      <c r="J482" s="60"/>
    </row>
    <row r="483" spans="10:10" s="24" customFormat="1" x14ac:dyDescent="0.2">
      <c r="J483" s="60"/>
    </row>
    <row r="484" spans="10:10" s="24" customFormat="1" x14ac:dyDescent="0.2">
      <c r="J484" s="60"/>
    </row>
    <row r="485" spans="10:10" s="24" customFormat="1" x14ac:dyDescent="0.2">
      <c r="J485" s="60"/>
    </row>
    <row r="486" spans="10:10" s="24" customFormat="1" x14ac:dyDescent="0.2">
      <c r="J486" s="60"/>
    </row>
    <row r="487" spans="10:10" s="24" customFormat="1" x14ac:dyDescent="0.2">
      <c r="J487" s="60"/>
    </row>
    <row r="488" spans="10:10" s="24" customFormat="1" x14ac:dyDescent="0.2">
      <c r="J488" s="60"/>
    </row>
    <row r="489" spans="10:10" s="24" customFormat="1" x14ac:dyDescent="0.2">
      <c r="J489" s="60"/>
    </row>
    <row r="490" spans="10:10" s="24" customFormat="1" x14ac:dyDescent="0.2">
      <c r="J490" s="60"/>
    </row>
    <row r="491" spans="10:10" s="24" customFormat="1" x14ac:dyDescent="0.2">
      <c r="J491" s="60"/>
    </row>
    <row r="492" spans="10:10" s="24" customFormat="1" x14ac:dyDescent="0.2">
      <c r="J492" s="60"/>
    </row>
    <row r="493" spans="10:10" s="24" customFormat="1" x14ac:dyDescent="0.2">
      <c r="J493" s="60"/>
    </row>
    <row r="494" spans="10:10" s="24" customFormat="1" x14ac:dyDescent="0.2">
      <c r="J494" s="60"/>
    </row>
    <row r="495" spans="10:10" s="24" customFormat="1" x14ac:dyDescent="0.2">
      <c r="J495" s="60"/>
    </row>
    <row r="496" spans="10:10" s="24" customFormat="1" x14ac:dyDescent="0.2">
      <c r="J496" s="60"/>
    </row>
    <row r="497" spans="10:10" s="24" customFormat="1" x14ac:dyDescent="0.2">
      <c r="J497" s="60"/>
    </row>
    <row r="498" spans="10:10" s="24" customFormat="1" x14ac:dyDescent="0.2">
      <c r="J498" s="60"/>
    </row>
    <row r="499" spans="10:10" s="24" customFormat="1" x14ac:dyDescent="0.2">
      <c r="J499" s="60"/>
    </row>
    <row r="500" spans="10:10" s="24" customFormat="1" x14ac:dyDescent="0.2">
      <c r="J500" s="60"/>
    </row>
    <row r="501" spans="10:10" s="24" customFormat="1" x14ac:dyDescent="0.2">
      <c r="J501" s="60"/>
    </row>
    <row r="502" spans="10:10" s="24" customFormat="1" x14ac:dyDescent="0.2">
      <c r="J502" s="60"/>
    </row>
    <row r="503" spans="10:10" s="24" customFormat="1" x14ac:dyDescent="0.2">
      <c r="J503" s="60"/>
    </row>
    <row r="504" spans="10:10" s="24" customFormat="1" x14ac:dyDescent="0.2">
      <c r="J504" s="60"/>
    </row>
    <row r="505" spans="10:10" s="24" customFormat="1" x14ac:dyDescent="0.2">
      <c r="J505" s="60"/>
    </row>
    <row r="506" spans="10:10" s="24" customFormat="1" x14ac:dyDescent="0.2">
      <c r="J506" s="60"/>
    </row>
    <row r="507" spans="10:10" s="24" customFormat="1" x14ac:dyDescent="0.2">
      <c r="J507" s="60"/>
    </row>
    <row r="508" spans="10:10" s="24" customFormat="1" x14ac:dyDescent="0.2">
      <c r="J508" s="60"/>
    </row>
    <row r="509" spans="10:10" s="24" customFormat="1" x14ac:dyDescent="0.2">
      <c r="J509" s="60"/>
    </row>
    <row r="510" spans="10:10" s="24" customFormat="1" x14ac:dyDescent="0.2">
      <c r="J510" s="60"/>
    </row>
    <row r="511" spans="10:10" s="24" customFormat="1" x14ac:dyDescent="0.2">
      <c r="J511" s="60"/>
    </row>
    <row r="512" spans="10:10" s="24" customFormat="1" x14ac:dyDescent="0.2">
      <c r="J512" s="60"/>
    </row>
    <row r="513" spans="10:10" s="24" customFormat="1" x14ac:dyDescent="0.2">
      <c r="J513" s="60"/>
    </row>
    <row r="514" spans="10:10" s="24" customFormat="1" x14ac:dyDescent="0.2">
      <c r="J514" s="60"/>
    </row>
    <row r="515" spans="10:10" s="24" customFormat="1" x14ac:dyDescent="0.2">
      <c r="J515" s="60"/>
    </row>
    <row r="516" spans="10:10" s="24" customFormat="1" x14ac:dyDescent="0.2">
      <c r="J516" s="60"/>
    </row>
    <row r="517" spans="10:10" s="24" customFormat="1" x14ac:dyDescent="0.2">
      <c r="J517" s="60"/>
    </row>
    <row r="518" spans="10:10" s="24" customFormat="1" x14ac:dyDescent="0.2">
      <c r="J518" s="60"/>
    </row>
    <row r="519" spans="10:10" s="24" customFormat="1" x14ac:dyDescent="0.2">
      <c r="J519" s="60"/>
    </row>
    <row r="520" spans="10:10" s="24" customFormat="1" x14ac:dyDescent="0.2">
      <c r="J520" s="60"/>
    </row>
    <row r="521" spans="10:10" s="24" customFormat="1" x14ac:dyDescent="0.2">
      <c r="J521" s="60"/>
    </row>
    <row r="522" spans="10:10" s="24" customFormat="1" x14ac:dyDescent="0.2">
      <c r="J522" s="60"/>
    </row>
    <row r="523" spans="10:10" s="24" customFormat="1" x14ac:dyDescent="0.2">
      <c r="J523" s="60"/>
    </row>
    <row r="524" spans="10:10" s="24" customFormat="1" x14ac:dyDescent="0.2">
      <c r="J524" s="60"/>
    </row>
    <row r="525" spans="10:10" s="24" customFormat="1" x14ac:dyDescent="0.2">
      <c r="J525" s="60"/>
    </row>
    <row r="526" spans="10:10" s="24" customFormat="1" x14ac:dyDescent="0.2">
      <c r="J526" s="60"/>
    </row>
    <row r="527" spans="10:10" s="24" customFormat="1" x14ac:dyDescent="0.2">
      <c r="J527" s="60"/>
    </row>
    <row r="528" spans="10:10" s="24" customFormat="1" x14ac:dyDescent="0.2">
      <c r="J528" s="60"/>
    </row>
    <row r="529" spans="10:10" s="24" customFormat="1" x14ac:dyDescent="0.2">
      <c r="J529" s="60"/>
    </row>
    <row r="530" spans="10:10" s="24" customFormat="1" x14ac:dyDescent="0.2">
      <c r="J530" s="60"/>
    </row>
    <row r="531" spans="10:10" s="24" customFormat="1" x14ac:dyDescent="0.2">
      <c r="J531" s="60"/>
    </row>
    <row r="532" spans="10:10" s="24" customFormat="1" x14ac:dyDescent="0.2">
      <c r="J532" s="60"/>
    </row>
    <row r="533" spans="10:10" s="24" customFormat="1" x14ac:dyDescent="0.2">
      <c r="J533" s="60"/>
    </row>
    <row r="534" spans="10:10" s="24" customFormat="1" x14ac:dyDescent="0.2">
      <c r="J534" s="60"/>
    </row>
    <row r="535" spans="10:10" s="24" customFormat="1" x14ac:dyDescent="0.2">
      <c r="J535" s="60"/>
    </row>
    <row r="536" spans="10:10" s="24" customFormat="1" x14ac:dyDescent="0.2">
      <c r="J536" s="60"/>
    </row>
    <row r="537" spans="10:10" s="24" customFormat="1" x14ac:dyDescent="0.2">
      <c r="J537" s="60"/>
    </row>
    <row r="538" spans="10:10" s="24" customFormat="1" x14ac:dyDescent="0.2">
      <c r="J538" s="60"/>
    </row>
    <row r="539" spans="10:10" s="24" customFormat="1" x14ac:dyDescent="0.2">
      <c r="J539" s="60"/>
    </row>
    <row r="540" spans="10:10" s="24" customFormat="1" x14ac:dyDescent="0.2">
      <c r="J540" s="60"/>
    </row>
    <row r="541" spans="10:10" s="24" customFormat="1" x14ac:dyDescent="0.2">
      <c r="J541" s="60"/>
    </row>
    <row r="542" spans="10:10" s="24" customFormat="1" x14ac:dyDescent="0.2">
      <c r="J542" s="60"/>
    </row>
    <row r="543" spans="10:10" s="24" customFormat="1" x14ac:dyDescent="0.2">
      <c r="J543" s="60"/>
    </row>
    <row r="544" spans="10:10" s="24" customFormat="1" x14ac:dyDescent="0.2">
      <c r="J544" s="60"/>
    </row>
    <row r="545" spans="10:10" s="24" customFormat="1" x14ac:dyDescent="0.2">
      <c r="J545" s="60"/>
    </row>
    <row r="546" spans="10:10" s="24" customFormat="1" x14ac:dyDescent="0.2">
      <c r="J546" s="60"/>
    </row>
    <row r="547" spans="10:10" s="24" customFormat="1" x14ac:dyDescent="0.2">
      <c r="J547" s="60"/>
    </row>
    <row r="548" spans="10:10" s="24" customFormat="1" x14ac:dyDescent="0.2">
      <c r="J548" s="60"/>
    </row>
    <row r="549" spans="10:10" s="24" customFormat="1" x14ac:dyDescent="0.2">
      <c r="J549" s="60"/>
    </row>
    <row r="550" spans="10:10" s="24" customFormat="1" x14ac:dyDescent="0.2">
      <c r="J550" s="60"/>
    </row>
    <row r="551" spans="10:10" s="24" customFormat="1" x14ac:dyDescent="0.2">
      <c r="J551" s="60"/>
    </row>
    <row r="552" spans="10:10" s="24" customFormat="1" x14ac:dyDescent="0.2">
      <c r="J552" s="60"/>
    </row>
    <row r="553" spans="10:10" s="24" customFormat="1" x14ac:dyDescent="0.2">
      <c r="J553" s="60"/>
    </row>
    <row r="554" spans="10:10" s="24" customFormat="1" x14ac:dyDescent="0.2">
      <c r="J554" s="60"/>
    </row>
    <row r="555" spans="10:10" s="24" customFormat="1" x14ac:dyDescent="0.2">
      <c r="J555" s="60"/>
    </row>
    <row r="556" spans="10:10" s="24" customFormat="1" x14ac:dyDescent="0.2">
      <c r="J556" s="60"/>
    </row>
    <row r="557" spans="10:10" s="24" customFormat="1" x14ac:dyDescent="0.2">
      <c r="J557" s="60"/>
    </row>
    <row r="558" spans="10:10" s="24" customFormat="1" x14ac:dyDescent="0.2">
      <c r="J558" s="60"/>
    </row>
    <row r="559" spans="10:10" s="24" customFormat="1" x14ac:dyDescent="0.2">
      <c r="J559" s="60"/>
    </row>
    <row r="560" spans="10:10" s="24" customFormat="1" x14ac:dyDescent="0.2">
      <c r="J560" s="60"/>
    </row>
    <row r="561" spans="10:10" s="24" customFormat="1" x14ac:dyDescent="0.2">
      <c r="J561" s="60"/>
    </row>
    <row r="562" spans="10:10" s="24" customFormat="1" x14ac:dyDescent="0.2">
      <c r="J562" s="60"/>
    </row>
    <row r="563" spans="10:10" s="24" customFormat="1" x14ac:dyDescent="0.2">
      <c r="J563" s="60"/>
    </row>
    <row r="564" spans="10:10" s="24" customFormat="1" x14ac:dyDescent="0.2">
      <c r="J564" s="60"/>
    </row>
    <row r="565" spans="10:10" s="24" customFormat="1" x14ac:dyDescent="0.2">
      <c r="J565" s="60"/>
    </row>
    <row r="566" spans="10:10" s="24" customFormat="1" x14ac:dyDescent="0.2">
      <c r="J566" s="60"/>
    </row>
    <row r="567" spans="10:10" s="24" customFormat="1" x14ac:dyDescent="0.2">
      <c r="J567" s="60"/>
    </row>
    <row r="568" spans="10:10" s="24" customFormat="1" x14ac:dyDescent="0.2">
      <c r="J568" s="60"/>
    </row>
    <row r="569" spans="10:10" s="24" customFormat="1" x14ac:dyDescent="0.2">
      <c r="J569" s="60"/>
    </row>
    <row r="570" spans="10:10" s="24" customFormat="1" x14ac:dyDescent="0.2">
      <c r="J570" s="60"/>
    </row>
    <row r="571" spans="10:10" s="24" customFormat="1" x14ac:dyDescent="0.2">
      <c r="J571" s="60"/>
    </row>
    <row r="572" spans="10:10" s="24" customFormat="1" x14ac:dyDescent="0.2">
      <c r="J572" s="60"/>
    </row>
    <row r="573" spans="10:10" s="24" customFormat="1" x14ac:dyDescent="0.2">
      <c r="J573" s="60"/>
    </row>
    <row r="574" spans="10:10" s="24" customFormat="1" x14ac:dyDescent="0.2">
      <c r="J574" s="60"/>
    </row>
    <row r="575" spans="10:10" s="24" customFormat="1" x14ac:dyDescent="0.2">
      <c r="J575" s="60"/>
    </row>
    <row r="576" spans="10:10" s="24" customFormat="1" x14ac:dyDescent="0.2">
      <c r="J576" s="60"/>
    </row>
    <row r="577" spans="10:10" s="24" customFormat="1" x14ac:dyDescent="0.2">
      <c r="J577" s="60"/>
    </row>
    <row r="578" spans="10:10" s="24" customFormat="1" x14ac:dyDescent="0.2">
      <c r="J578" s="60"/>
    </row>
    <row r="579" spans="10:10" s="24" customFormat="1" x14ac:dyDescent="0.2">
      <c r="J579" s="60"/>
    </row>
    <row r="580" spans="10:10" s="24" customFormat="1" x14ac:dyDescent="0.2">
      <c r="J580" s="60"/>
    </row>
    <row r="581" spans="10:10" s="24" customFormat="1" x14ac:dyDescent="0.2">
      <c r="J581" s="60"/>
    </row>
    <row r="582" spans="10:10" s="24" customFormat="1" x14ac:dyDescent="0.2">
      <c r="J582" s="60"/>
    </row>
    <row r="583" spans="10:10" s="24" customFormat="1" x14ac:dyDescent="0.2">
      <c r="J583" s="60"/>
    </row>
    <row r="584" spans="10:10" s="24" customFormat="1" x14ac:dyDescent="0.2">
      <c r="J584" s="60"/>
    </row>
    <row r="585" spans="10:10" s="24" customFormat="1" x14ac:dyDescent="0.2">
      <c r="J585" s="60"/>
    </row>
    <row r="586" spans="10:10" s="24" customFormat="1" x14ac:dyDescent="0.2">
      <c r="J586" s="60"/>
    </row>
    <row r="587" spans="10:10" s="24" customFormat="1" x14ac:dyDescent="0.2">
      <c r="J587" s="60"/>
    </row>
    <row r="588" spans="10:10" s="24" customFormat="1" x14ac:dyDescent="0.2">
      <c r="J588" s="60"/>
    </row>
    <row r="589" spans="10:10" s="24" customFormat="1" x14ac:dyDescent="0.2">
      <c r="J589" s="60"/>
    </row>
    <row r="590" spans="10:10" s="24" customFormat="1" x14ac:dyDescent="0.2">
      <c r="J590" s="60"/>
    </row>
    <row r="591" spans="10:10" s="24" customFormat="1" x14ac:dyDescent="0.2">
      <c r="J591" s="60"/>
    </row>
    <row r="592" spans="10:10" s="24" customFormat="1" x14ac:dyDescent="0.2">
      <c r="J592" s="60"/>
    </row>
    <row r="593" spans="10:10" s="24" customFormat="1" x14ac:dyDescent="0.2">
      <c r="J593" s="60"/>
    </row>
    <row r="594" spans="10:10" s="24" customFormat="1" x14ac:dyDescent="0.2">
      <c r="J594" s="60"/>
    </row>
    <row r="595" spans="10:10" s="24" customFormat="1" x14ac:dyDescent="0.2">
      <c r="J595" s="60"/>
    </row>
    <row r="596" spans="10:10" s="24" customFormat="1" x14ac:dyDescent="0.2">
      <c r="J596" s="60"/>
    </row>
    <row r="597" spans="10:10" s="24" customFormat="1" x14ac:dyDescent="0.2">
      <c r="J597" s="60"/>
    </row>
    <row r="598" spans="10:10" s="24" customFormat="1" x14ac:dyDescent="0.2">
      <c r="J598" s="60"/>
    </row>
    <row r="599" spans="10:10" s="24" customFormat="1" x14ac:dyDescent="0.2">
      <c r="J599" s="60"/>
    </row>
    <row r="600" spans="10:10" s="24" customFormat="1" x14ac:dyDescent="0.2">
      <c r="J600" s="60"/>
    </row>
    <row r="601" spans="10:10" s="24" customFormat="1" x14ac:dyDescent="0.2">
      <c r="J601" s="60"/>
    </row>
    <row r="602" spans="10:10" s="24" customFormat="1" x14ac:dyDescent="0.2">
      <c r="J602" s="60"/>
    </row>
    <row r="603" spans="10:10" s="24" customFormat="1" x14ac:dyDescent="0.2">
      <c r="J603" s="60"/>
    </row>
    <row r="604" spans="10:10" s="24" customFormat="1" x14ac:dyDescent="0.2">
      <c r="J604" s="60"/>
    </row>
    <row r="605" spans="10:10" s="24" customFormat="1" x14ac:dyDescent="0.2">
      <c r="J605" s="60"/>
    </row>
    <row r="606" spans="10:10" s="24" customFormat="1" x14ac:dyDescent="0.2">
      <c r="J606" s="60"/>
    </row>
    <row r="607" spans="10:10" s="24" customFormat="1" x14ac:dyDescent="0.2">
      <c r="J607" s="60"/>
    </row>
    <row r="608" spans="10:10" s="24" customFormat="1" x14ac:dyDescent="0.2">
      <c r="J608" s="60"/>
    </row>
    <row r="609" spans="10:10" s="24" customFormat="1" x14ac:dyDescent="0.2">
      <c r="J609" s="60"/>
    </row>
    <row r="610" spans="10:10" s="24" customFormat="1" x14ac:dyDescent="0.2">
      <c r="J610" s="60"/>
    </row>
    <row r="611" spans="10:10" s="24" customFormat="1" x14ac:dyDescent="0.2">
      <c r="J611" s="60"/>
    </row>
    <row r="612" spans="10:10" s="24" customFormat="1" x14ac:dyDescent="0.2">
      <c r="J612" s="60"/>
    </row>
    <row r="613" spans="10:10" s="24" customFormat="1" x14ac:dyDescent="0.2">
      <c r="J613" s="60"/>
    </row>
    <row r="614" spans="10:10" s="24" customFormat="1" x14ac:dyDescent="0.2">
      <c r="J614" s="60"/>
    </row>
    <row r="615" spans="10:10" s="24" customFormat="1" x14ac:dyDescent="0.2">
      <c r="J615" s="60"/>
    </row>
    <row r="616" spans="10:10" s="24" customFormat="1" x14ac:dyDescent="0.2">
      <c r="J616" s="60"/>
    </row>
    <row r="617" spans="10:10" s="24" customFormat="1" x14ac:dyDescent="0.2">
      <c r="J617" s="60"/>
    </row>
    <row r="618" spans="10:10" s="24" customFormat="1" x14ac:dyDescent="0.2">
      <c r="J618" s="60"/>
    </row>
    <row r="619" spans="10:10" s="24" customFormat="1" x14ac:dyDescent="0.2">
      <c r="J619" s="60"/>
    </row>
    <row r="620" spans="10:10" s="24" customFormat="1" x14ac:dyDescent="0.2">
      <c r="J620" s="60"/>
    </row>
    <row r="621" spans="10:10" s="24" customFormat="1" x14ac:dyDescent="0.2">
      <c r="J621" s="60"/>
    </row>
    <row r="622" spans="10:10" s="24" customFormat="1" x14ac:dyDescent="0.2">
      <c r="J622" s="60"/>
    </row>
    <row r="623" spans="10:10" s="24" customFormat="1" x14ac:dyDescent="0.2">
      <c r="J623" s="60"/>
    </row>
    <row r="624" spans="10:10" s="24" customFormat="1" x14ac:dyDescent="0.2">
      <c r="J624" s="60"/>
    </row>
    <row r="625" spans="10:10" s="24" customFormat="1" x14ac:dyDescent="0.2">
      <c r="J625" s="60"/>
    </row>
    <row r="626" spans="10:10" s="24" customFormat="1" x14ac:dyDescent="0.2">
      <c r="J626" s="60"/>
    </row>
    <row r="627" spans="10:10" s="24" customFormat="1" x14ac:dyDescent="0.2">
      <c r="J627" s="60"/>
    </row>
    <row r="628" spans="10:10" s="24" customFormat="1" x14ac:dyDescent="0.2">
      <c r="J628" s="60"/>
    </row>
    <row r="629" spans="10:10" s="24" customFormat="1" x14ac:dyDescent="0.2">
      <c r="J629" s="60"/>
    </row>
    <row r="630" spans="10:10" s="24" customFormat="1" x14ac:dyDescent="0.2">
      <c r="J630" s="60"/>
    </row>
    <row r="631" spans="10:10" s="24" customFormat="1" x14ac:dyDescent="0.2">
      <c r="J631" s="60"/>
    </row>
    <row r="632" spans="10:10" s="24" customFormat="1" x14ac:dyDescent="0.2">
      <c r="J632" s="60"/>
    </row>
    <row r="633" spans="10:10" s="24" customFormat="1" x14ac:dyDescent="0.2">
      <c r="J633" s="60"/>
    </row>
    <row r="634" spans="10:10" s="24" customFormat="1" x14ac:dyDescent="0.2">
      <c r="J634" s="60"/>
    </row>
    <row r="635" spans="10:10" s="24" customFormat="1" x14ac:dyDescent="0.2">
      <c r="J635" s="60"/>
    </row>
    <row r="636" spans="10:10" s="24" customFormat="1" x14ac:dyDescent="0.2">
      <c r="J636" s="60"/>
    </row>
    <row r="637" spans="10:10" s="24" customFormat="1" x14ac:dyDescent="0.2">
      <c r="J637" s="60"/>
    </row>
    <row r="638" spans="10:10" s="24" customFormat="1" x14ac:dyDescent="0.2">
      <c r="J638" s="60"/>
    </row>
    <row r="639" spans="10:10" s="24" customFormat="1" x14ac:dyDescent="0.2">
      <c r="J639" s="60"/>
    </row>
    <row r="640" spans="10:10" s="24" customFormat="1" x14ac:dyDescent="0.2">
      <c r="J640" s="60"/>
    </row>
    <row r="641" spans="2:10" s="24" customFormat="1" x14ac:dyDescent="0.2">
      <c r="J641" s="60"/>
    </row>
    <row r="642" spans="2:10" s="24" customFormat="1" x14ac:dyDescent="0.2">
      <c r="J642" s="60"/>
    </row>
    <row r="643" spans="2:10" s="24" customFormat="1" x14ac:dyDescent="0.2">
      <c r="J643" s="60"/>
    </row>
    <row r="644" spans="2:10" s="24" customFormat="1" x14ac:dyDescent="0.2">
      <c r="J644" s="60"/>
    </row>
    <row r="645" spans="2:10" s="24" customFormat="1" x14ac:dyDescent="0.2">
      <c r="J645" s="60"/>
    </row>
    <row r="646" spans="2:10" s="24" customFormat="1" x14ac:dyDescent="0.2">
      <c r="J646" s="60"/>
    </row>
    <row r="647" spans="2:10" x14ac:dyDescent="0.2">
      <c r="B647" s="24"/>
      <c r="C647" s="24"/>
      <c r="D647" s="24"/>
      <c r="E647" s="24"/>
      <c r="G647" s="24"/>
      <c r="H647" s="24"/>
      <c r="I647" s="24"/>
      <c r="J647" s="60"/>
    </row>
  </sheetData>
  <sheetProtection algorithmName="SHA-512" hashValue="UIBSxYTUc3Qv5iIET2y2QvPGhfpxrRTpldlX3oDKNm24idr/Bv7wqgvb3HYA4006UTDxLzYm8AouST4LgbAfIA==" saltValue="eJK7fmN/g1KslSlFMGeETw==" spinCount="100000" sheet="1" objects="1" scenarios="1" formatCells="0" formatColumns="0" formatRows="0"/>
  <dataConsolidate/>
  <mergeCells count="69">
    <mergeCell ref="B385:J385"/>
    <mergeCell ref="B79:J79"/>
    <mergeCell ref="B156:J156"/>
    <mergeCell ref="B83:J83"/>
    <mergeCell ref="B101:C101"/>
    <mergeCell ref="B114:J114"/>
    <mergeCell ref="B195:J195"/>
    <mergeCell ref="B348:C348"/>
    <mergeCell ref="B351:J351"/>
    <mergeCell ref="B355:J355"/>
    <mergeCell ref="B381:C381"/>
    <mergeCell ref="B384:J384"/>
    <mergeCell ref="B373:C373"/>
    <mergeCell ref="B212:J212"/>
    <mergeCell ref="B287:J287"/>
    <mergeCell ref="B324:J324"/>
    <mergeCell ref="B320:J320"/>
    <mergeCell ref="B281:J281"/>
    <mergeCell ref="B280:J280"/>
    <mergeCell ref="B243:J243"/>
    <mergeCell ref="B285:J285"/>
    <mergeCell ref="B299:C299"/>
    <mergeCell ref="B307:C307"/>
    <mergeCell ref="B317:C317"/>
    <mergeCell ref="B277:C277"/>
    <mergeCell ref="B267:C267"/>
    <mergeCell ref="B259:C259"/>
    <mergeCell ref="B247:J247"/>
    <mergeCell ref="B158:J158"/>
    <mergeCell ref="B165:J165"/>
    <mergeCell ref="B27:J27"/>
    <mergeCell ref="B6:J6"/>
    <mergeCell ref="B13:J13"/>
    <mergeCell ref="B15:J15"/>
    <mergeCell ref="B16:J16"/>
    <mergeCell ref="B17:J17"/>
    <mergeCell ref="B18:J18"/>
    <mergeCell ref="B19:J19"/>
    <mergeCell ref="B20:J20"/>
    <mergeCell ref="B22:J22"/>
    <mergeCell ref="B9:J9"/>
    <mergeCell ref="B119:J119"/>
    <mergeCell ref="B53:C53"/>
    <mergeCell ref="B38:J38"/>
    <mergeCell ref="B151:J151"/>
    <mergeCell ref="B152:J152"/>
    <mergeCell ref="B14:J14"/>
    <mergeCell ref="B40:J40"/>
    <mergeCell ref="B2:I2"/>
    <mergeCell ref="B4:J4"/>
    <mergeCell ref="E57:G57"/>
    <mergeCell ref="B21:J21"/>
    <mergeCell ref="B23:J23"/>
    <mergeCell ref="B214:J214"/>
    <mergeCell ref="B230:C230"/>
    <mergeCell ref="B240:C240"/>
    <mergeCell ref="B115:J115"/>
    <mergeCell ref="B29:J29"/>
    <mergeCell ref="B57:C57"/>
    <mergeCell ref="B81:J81"/>
    <mergeCell ref="B65:C65"/>
    <mergeCell ref="B37:J37"/>
    <mergeCell ref="B36:J36"/>
    <mergeCell ref="B39:J39"/>
    <mergeCell ref="B41:J41"/>
    <mergeCell ref="B31:J31"/>
    <mergeCell ref="B33:J33"/>
    <mergeCell ref="B137:C137"/>
    <mergeCell ref="B150:J150"/>
  </mergeCells>
  <conditionalFormatting sqref="G176">
    <cfRule type="containsBlanks" dxfId="10" priority="14">
      <formula>LEN(TRIM(G176))=0</formula>
    </cfRule>
  </conditionalFormatting>
  <conditionalFormatting sqref="G230">
    <cfRule type="containsBlanks" dxfId="9" priority="8">
      <formula>LEN(TRIM(G230))=0</formula>
    </cfRule>
  </conditionalFormatting>
  <conditionalFormatting sqref="G259">
    <cfRule type="containsBlanks" dxfId="8" priority="7">
      <formula>LEN(TRIM(G259))=0</formula>
    </cfRule>
  </conditionalFormatting>
  <conditionalFormatting sqref="G309">
    <cfRule type="containsBlanks" dxfId="7" priority="5">
      <formula>LEN(TRIM(G309))=0</formula>
    </cfRule>
  </conditionalFormatting>
  <conditionalFormatting sqref="G340">
    <cfRule type="containsBlanks" dxfId="6" priority="3">
      <formula>LEN(TRIM(G340))=0</formula>
    </cfRule>
  </conditionalFormatting>
  <conditionalFormatting sqref="G369">
    <cfRule type="containsBlanks" dxfId="5" priority="1">
      <formula>LEN(TRIM(G369))=0</formula>
    </cfRule>
  </conditionalFormatting>
  <dataValidations count="4">
    <dataValidation type="list" allowBlank="1" showInputMessage="1" showErrorMessage="1" sqref="C176">
      <formula1>ProductForm</formula1>
    </dataValidation>
    <dataValidation type="list" allowBlank="1" showInputMessage="1" showErrorMessage="1" sqref="C178">
      <formula1>Consumption</formula1>
    </dataValidation>
    <dataValidation type="list" allowBlank="1" showInputMessage="1" showErrorMessage="1" sqref="E57">
      <formula1>tonnage_range_detergents</formula1>
    </dataValidation>
    <dataValidation type="list" allowBlank="1" showInputMessage="1" showErrorMessage="1" sqref="C63">
      <formula1>Select_form_of_product</formula1>
    </dataValidation>
  </dataValidations>
  <hyperlinks>
    <hyperlink ref="B13:J13" location="'PT6-detergents &amp; clean. fluids'!Emission_scenario_for_calculating_the_release_of_disinfectants_used_in_human_hygiene_biocidal_products__for_private_use__based_on_the_annual_tonnage_applied__ESD_Table_7__p_30" display="Emission scenario for calculating the release of disinfectants used in human hygiene biocidal products (for private use) based on the annual tonnage applied "/>
    <hyperlink ref="B16:J16" location="'PT6-detergents &amp; clean. fluids'!_1._Preservation_of_human_hygienic_products__use_area__soaps__shampoos_…" display="1. Preservation of human hygienic products (use area: soaps, shampoos,…)"/>
    <hyperlink ref="B17:J17" location="'PT6-detergents &amp; clean. fluids'!_2._Preservation_of_washing_and_cleaning_fluids_for_professional_use__use_area__detergents_used_in_industry_for_large_surfaces__in_large_scale_laundry_…" display="2. Preservation of washing and cleaning fluids for professional use (use area: detergents used in industry for large surfaces, in large scale laundry,…)"/>
    <hyperlink ref="B18:J18" location="'PT6-detergents &amp; clean. fluids'!_2.1_Emission_scenario_for_calculating_the_release_of_preservatives_applied_in_professional_detergents_used_for_laundry_from_hospitals_in_washing_streets__ESD_Table_9__p.33" display="2.1 Emission scenario for calculating the release of preservatives applied in professional detergents used for laundry from hospitals in washing streets (ESD Table 9, p.33)"/>
    <hyperlink ref="B19:J19" location="'PT6-detergents &amp; clean. fluids'!_2.2_Emission_scenario_for_calculating_the_release_of_preservatives_used_in_professional_detergents_for_surface_cleaning_in_industrial_areas__ESD_Table_10__p.34" display="2.2 Emission scenario for calculating the release of preservatives used in professional detergents for surface cleaning in industrial areas (ESD Table 10, p.34)"/>
    <hyperlink ref="B20:J20" location="'PT6-detergents &amp; clean. fluids'!_3._Preservation_of_washing_and_cleaning_fluids_for_non_professional_use__use_area__detergents_for_dish_washing__fabric_washing__surface_cleaning_…" display="3. Preservation of washing and cleaning fluids for non-professional use (use area: detergents for dish washing, fabric washing, surface cleaning,…)"/>
    <hyperlink ref="B21:J21" location="'PT6-detergents &amp; clean. fluids'!_3.1_Emission_scenario_for_calculating_the_release_of_preservatives_used_in_non_professional_detergents_for_fabric_washing__ESD_Table_11__p.34" display="3.1 Emission scenario for calculating the release of preservatives used in non-professional detergents for fabric washing (ESD Table 11, p.34)"/>
    <hyperlink ref="B22:J22" location="'PT6-detergents &amp; clean. fluids'!_3.2_Emission_scenario_for_calculating_the_release_of_preservatives_used_in_non_professional_detergents_for_dish_washing__ESD_Table_12__p.35" display="3.2 Emission scenario for calculating the release of preservatives used in non-professional detergents for dish washing (ESD Table 12, p.35)"/>
    <hyperlink ref="B23:J23" location="'PT6-detergents &amp; clean. fluids'!_3.3_Emission_scenario_for_calculating_the_release_of_preservatives_used_in_detergents_for_sanitary_purposes_based_on_average_consumption__Table_13__p.xx" display="3.3 Emission scenario for calculating the release of preservatives used in detergents for sanitary purposes based on average consumption (Table 13, p.36)"/>
    <hyperlink ref="B9:J9" location="'PT6-detergents &amp; clean. fluids'!Emission_estimation_for_the_formulation_process_of_the_detergents_and_cleaning_fluids__ESD_§_3.1.4.1" display="Emission estimation for the formulation process of the detergents and cleaning fluids (ESD § 3.1.4.1)"/>
    <hyperlink ref="B77" location="'PT6-detergents &amp; clean. fluids'!A1" display="Go to the top of the page"/>
    <hyperlink ref="B117" location="'PT6-detergents &amp; clean. fluids'!A1" display="Go to the top of the page"/>
    <hyperlink ref="B210" location="'PT6-detergents &amp; clean. fluids'!A1" display="Go to the top of the page"/>
    <hyperlink ref="B245" location="'PT6-detergents &amp; clean. fluids'!A1" display="Go to the top of the page"/>
    <hyperlink ref="B283" location="'PT6-detergents &amp; clean. fluids'!A1" display="Go to the top of the page"/>
    <hyperlink ref="B322" location="'PT6-detergents &amp; clean. fluids'!A1" display="Go to the top of the page"/>
    <hyperlink ref="B353" location="'PT6-detergents &amp; clean. fluids'!A1" display="Go to the top of the page"/>
    <hyperlink ref="B387" location="'PT6-detergents &amp; clean. fluids'!A1" display="Go to the top of the page"/>
    <hyperlink ref="B154" location="'PT6-detergents &amp; clean. fluids'!A1" display="Go to the top of the page"/>
    <hyperlink ref="B14:J14" location="'PT6-detergents &amp; clean. fluids'!Emission_scenario_for_calculating_the_release_of_disinfectants_used_in_human_hygiene_biocidal_products_for_professional_use_based_on_the_annual_tonnage_applied__ESD_Table_7__p._30" display="Emission scenario for calculating the release of disinfectants used in human hygiene biocidal products for professional use based on the annual tonnage applied (ESD Table 7, p. 30)"/>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833"/>
  <sheetViews>
    <sheetView zoomScale="87" zoomScaleNormal="87" workbookViewId="0"/>
  </sheetViews>
  <sheetFormatPr defaultColWidth="8.75" defaultRowHeight="12.75" x14ac:dyDescent="0.2"/>
  <cols>
    <col min="1" max="1" width="1.625" style="121" customWidth="1"/>
    <col min="2" max="2" width="30.625" style="122" customWidth="1"/>
    <col min="3" max="3" width="25.625" style="122" customWidth="1"/>
    <col min="4" max="4" width="1.625" style="122" customWidth="1"/>
    <col min="5" max="5" width="21.75" style="122" customWidth="1"/>
    <col min="6" max="6" width="1.625" style="121" customWidth="1"/>
    <col min="7" max="7" width="15.625" style="122" customWidth="1"/>
    <col min="8" max="9" width="10.625" style="122" customWidth="1"/>
    <col min="10" max="10" width="60.625" style="147" customWidth="1"/>
    <col min="11" max="16" width="8.75" style="122"/>
    <col min="17" max="18" width="8.75" style="121"/>
    <col min="19" max="19" width="37.25" style="121" customWidth="1"/>
    <col min="20" max="65" width="8.75" style="121"/>
    <col min="66" max="16384" width="8.75" style="122"/>
  </cols>
  <sheetData>
    <row r="1" spans="1:101" x14ac:dyDescent="0.2">
      <c r="B1" s="121"/>
      <c r="C1" s="121"/>
      <c r="D1" s="121"/>
      <c r="E1" s="121"/>
      <c r="G1" s="121"/>
      <c r="H1" s="121"/>
      <c r="I1" s="121"/>
      <c r="J1" s="146"/>
      <c r="K1" s="121"/>
      <c r="L1" s="121"/>
      <c r="M1" s="121"/>
      <c r="N1" s="121"/>
      <c r="O1" s="121"/>
      <c r="P1" s="121"/>
    </row>
    <row r="2" spans="1:101" ht="43.5" customHeight="1" x14ac:dyDescent="0.2">
      <c r="B2" s="442" t="s">
        <v>23</v>
      </c>
      <c r="C2" s="442"/>
      <c r="D2" s="442"/>
      <c r="E2" s="442"/>
      <c r="F2" s="442"/>
      <c r="G2" s="442"/>
      <c r="H2" s="442"/>
      <c r="I2" s="442"/>
      <c r="J2" s="146"/>
      <c r="K2" s="121"/>
      <c r="L2" s="121"/>
      <c r="M2" s="121"/>
      <c r="N2" s="121"/>
      <c r="O2" s="121"/>
      <c r="P2" s="121"/>
    </row>
    <row r="3" spans="1:101" x14ac:dyDescent="0.2">
      <c r="B3" s="121"/>
      <c r="C3" s="121"/>
      <c r="D3" s="121"/>
      <c r="E3" s="121"/>
      <c r="G3" s="121"/>
      <c r="H3" s="121"/>
      <c r="I3" s="121"/>
      <c r="J3" s="146"/>
      <c r="K3" s="121"/>
      <c r="L3" s="121"/>
      <c r="M3" s="121"/>
      <c r="N3" s="121"/>
      <c r="O3" s="121"/>
      <c r="P3" s="121"/>
    </row>
    <row r="4" spans="1:101" ht="18" x14ac:dyDescent="0.2">
      <c r="B4" s="443" t="s">
        <v>639</v>
      </c>
      <c r="C4" s="443"/>
      <c r="D4" s="443"/>
      <c r="E4" s="443"/>
      <c r="F4" s="443"/>
      <c r="G4" s="443"/>
      <c r="H4" s="443"/>
      <c r="I4" s="443"/>
      <c r="J4" s="443"/>
      <c r="K4" s="121"/>
      <c r="L4" s="121"/>
      <c r="M4" s="121"/>
      <c r="N4" s="121"/>
      <c r="O4" s="121"/>
      <c r="P4" s="121"/>
    </row>
    <row r="5" spans="1:101" s="121" customFormat="1" ht="15.75" thickBot="1" x14ac:dyDescent="0.25">
      <c r="A5" s="119"/>
      <c r="B5" s="21"/>
      <c r="C5" s="21"/>
      <c r="D5" s="21"/>
      <c r="E5" s="21"/>
      <c r="F5" s="21"/>
      <c r="G5" s="21"/>
      <c r="H5" s="21"/>
      <c r="I5" s="21"/>
      <c r="J5" s="21"/>
      <c r="K5" s="21"/>
      <c r="L5" s="21"/>
      <c r="M5" s="21"/>
      <c r="N5" s="119"/>
      <c r="O5" s="119"/>
      <c r="P5" s="119"/>
      <c r="Q5" s="119"/>
    </row>
    <row r="6" spans="1:101" ht="13.5" customHeight="1" x14ac:dyDescent="0.2">
      <c r="A6" s="119"/>
      <c r="B6" s="450" t="s">
        <v>24</v>
      </c>
      <c r="C6" s="451"/>
      <c r="D6" s="451"/>
      <c r="E6" s="451"/>
      <c r="F6" s="451"/>
      <c r="G6" s="451"/>
      <c r="H6" s="451"/>
      <c r="I6" s="451"/>
      <c r="J6" s="452"/>
      <c r="K6" s="153"/>
      <c r="L6" s="119"/>
      <c r="M6" s="119"/>
      <c r="N6" s="121"/>
      <c r="O6" s="121"/>
      <c r="P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row>
    <row r="7" spans="1:101" ht="13.5" customHeight="1" x14ac:dyDescent="0.2">
      <c r="A7" s="119"/>
      <c r="B7" s="164"/>
      <c r="C7" s="165"/>
      <c r="D7" s="165"/>
      <c r="E7" s="165"/>
      <c r="F7" s="165"/>
      <c r="G7" s="165"/>
      <c r="H7" s="165"/>
      <c r="I7" s="165"/>
      <c r="J7" s="166"/>
      <c r="K7" s="153"/>
      <c r="L7" s="119"/>
      <c r="M7" s="119"/>
      <c r="N7" s="121"/>
      <c r="O7" s="121"/>
      <c r="P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row>
    <row r="8" spans="1:101" ht="13.5" customHeight="1" x14ac:dyDescent="0.2">
      <c r="A8" s="119"/>
      <c r="B8" s="164" t="s">
        <v>391</v>
      </c>
      <c r="C8" s="165"/>
      <c r="D8" s="165"/>
      <c r="E8" s="165"/>
      <c r="F8" s="165"/>
      <c r="G8" s="165"/>
      <c r="H8" s="165"/>
      <c r="I8" s="165"/>
      <c r="J8" s="166"/>
      <c r="K8" s="153"/>
      <c r="L8" s="119"/>
      <c r="M8" s="119"/>
      <c r="N8" s="121"/>
      <c r="O8" s="121"/>
      <c r="P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row>
    <row r="9" spans="1:101" ht="13.5" customHeight="1" x14ac:dyDescent="0.2">
      <c r="A9" s="119"/>
      <c r="B9" s="464" t="s">
        <v>394</v>
      </c>
      <c r="C9" s="465"/>
      <c r="D9" s="465"/>
      <c r="E9" s="465"/>
      <c r="F9" s="465"/>
      <c r="G9" s="465"/>
      <c r="H9" s="465"/>
      <c r="I9" s="465"/>
      <c r="J9" s="466"/>
      <c r="K9" s="153"/>
      <c r="L9" s="119"/>
      <c r="M9" s="119"/>
      <c r="N9" s="121"/>
      <c r="O9" s="121"/>
      <c r="P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121"/>
      <c r="CO9" s="121"/>
      <c r="CP9" s="121"/>
      <c r="CQ9" s="121"/>
      <c r="CR9" s="121"/>
      <c r="CS9" s="121"/>
      <c r="CT9" s="121"/>
      <c r="CU9" s="121"/>
      <c r="CV9" s="121"/>
      <c r="CW9" s="121"/>
    </row>
    <row r="10" spans="1:101" ht="13.5" customHeight="1" x14ac:dyDescent="0.2">
      <c r="A10" s="119"/>
      <c r="B10" s="164"/>
      <c r="C10" s="165"/>
      <c r="D10" s="165"/>
      <c r="E10" s="165"/>
      <c r="F10" s="165"/>
      <c r="G10" s="165"/>
      <c r="H10" s="165"/>
      <c r="I10" s="165"/>
      <c r="J10" s="166"/>
      <c r="K10" s="153"/>
      <c r="L10" s="119"/>
      <c r="M10" s="119"/>
      <c r="N10" s="121"/>
      <c r="O10" s="121"/>
      <c r="P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1"/>
      <c r="CN10" s="121"/>
      <c r="CO10" s="121"/>
      <c r="CP10" s="121"/>
      <c r="CQ10" s="121"/>
      <c r="CR10" s="121"/>
      <c r="CS10" s="121"/>
      <c r="CT10" s="121"/>
      <c r="CU10" s="121"/>
      <c r="CV10" s="121"/>
      <c r="CW10" s="121"/>
    </row>
    <row r="11" spans="1:101" ht="13.5" customHeight="1" x14ac:dyDescent="0.2">
      <c r="A11" s="119"/>
      <c r="B11" s="164" t="s">
        <v>381</v>
      </c>
      <c r="C11" s="165"/>
      <c r="D11" s="165"/>
      <c r="E11" s="165"/>
      <c r="F11" s="165"/>
      <c r="G11" s="165"/>
      <c r="H11" s="165"/>
      <c r="I11" s="165"/>
      <c r="J11" s="166"/>
      <c r="K11" s="153"/>
      <c r="L11" s="119"/>
      <c r="M11" s="119"/>
      <c r="N11" s="121"/>
      <c r="O11" s="121"/>
      <c r="P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row>
    <row r="12" spans="1:101" s="151" customFormat="1" ht="12.4" customHeight="1" x14ac:dyDescent="0.2">
      <c r="A12" s="130"/>
      <c r="B12" s="154" t="s">
        <v>382</v>
      </c>
      <c r="C12" s="150"/>
      <c r="D12" s="150"/>
      <c r="E12" s="150"/>
      <c r="F12" s="150"/>
      <c r="G12" s="150"/>
      <c r="H12" s="150"/>
      <c r="I12" s="152"/>
      <c r="J12" s="94"/>
      <c r="K12" s="130"/>
      <c r="L12" s="130"/>
      <c r="M12" s="130"/>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8"/>
      <c r="CH12" s="128"/>
      <c r="CI12" s="128"/>
      <c r="CJ12" s="128"/>
      <c r="CK12" s="128"/>
      <c r="CL12" s="128"/>
      <c r="CM12" s="128"/>
      <c r="CN12" s="128"/>
      <c r="CO12" s="128"/>
      <c r="CP12" s="128"/>
      <c r="CQ12" s="128"/>
      <c r="CR12" s="128"/>
      <c r="CS12" s="128"/>
      <c r="CT12" s="128"/>
      <c r="CU12" s="128"/>
      <c r="CV12" s="128"/>
      <c r="CW12" s="128"/>
    </row>
    <row r="13" spans="1:101" ht="14.25" x14ac:dyDescent="0.2">
      <c r="A13" s="119"/>
      <c r="B13" s="461" t="s">
        <v>588</v>
      </c>
      <c r="C13" s="462"/>
      <c r="D13" s="462"/>
      <c r="E13" s="462"/>
      <c r="F13" s="462"/>
      <c r="G13" s="462"/>
      <c r="H13" s="462"/>
      <c r="I13" s="462"/>
      <c r="J13" s="463"/>
      <c r="K13" s="119"/>
      <c r="L13" s="119"/>
      <c r="M13" s="119"/>
      <c r="N13" s="121"/>
      <c r="O13" s="121"/>
      <c r="P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row>
    <row r="14" spans="1:101" ht="14.25" x14ac:dyDescent="0.2">
      <c r="A14" s="119"/>
      <c r="B14" s="453" t="s">
        <v>383</v>
      </c>
      <c r="C14" s="454"/>
      <c r="D14" s="454"/>
      <c r="E14" s="454"/>
      <c r="F14" s="454"/>
      <c r="G14" s="454"/>
      <c r="H14" s="454"/>
      <c r="I14" s="454"/>
      <c r="J14" s="455"/>
      <c r="K14" s="119"/>
      <c r="L14" s="119"/>
      <c r="M14" s="119"/>
      <c r="N14" s="121"/>
      <c r="O14" s="121"/>
      <c r="P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row>
    <row r="15" spans="1:101" ht="14.25" x14ac:dyDescent="0.2">
      <c r="A15" s="119"/>
      <c r="B15" s="461" t="s">
        <v>575</v>
      </c>
      <c r="C15" s="462"/>
      <c r="D15" s="462"/>
      <c r="E15" s="462"/>
      <c r="F15" s="462"/>
      <c r="G15" s="462"/>
      <c r="H15" s="462"/>
      <c r="I15" s="462"/>
      <c r="J15" s="463"/>
      <c r="K15" s="119"/>
      <c r="L15" s="119"/>
      <c r="M15" s="119"/>
      <c r="N15" s="121"/>
      <c r="O15" s="121"/>
      <c r="P15" s="121"/>
      <c r="BN15" s="121"/>
      <c r="BO15" s="121"/>
      <c r="BP15" s="121"/>
      <c r="BQ15" s="121"/>
      <c r="BR15" s="121"/>
      <c r="BS15" s="121"/>
      <c r="BT15" s="121"/>
      <c r="BU15" s="121"/>
      <c r="BV15" s="121"/>
      <c r="BW15" s="121"/>
      <c r="BX15" s="121"/>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row>
    <row r="16" spans="1:101" ht="14.25" x14ac:dyDescent="0.2">
      <c r="A16" s="119"/>
      <c r="B16" s="461" t="s">
        <v>580</v>
      </c>
      <c r="C16" s="462"/>
      <c r="D16" s="462"/>
      <c r="E16" s="462"/>
      <c r="F16" s="462"/>
      <c r="G16" s="462"/>
      <c r="H16" s="462"/>
      <c r="I16" s="462"/>
      <c r="J16" s="463"/>
      <c r="K16" s="119"/>
      <c r="L16" s="119"/>
      <c r="M16" s="119"/>
      <c r="N16" s="121"/>
      <c r="O16" s="121"/>
      <c r="P16" s="121"/>
      <c r="BN16" s="121"/>
      <c r="BO16" s="121"/>
      <c r="BP16" s="121"/>
      <c r="BQ16" s="121"/>
      <c r="BR16" s="121"/>
      <c r="BS16" s="121"/>
      <c r="BT16" s="121"/>
      <c r="BU16" s="121"/>
      <c r="BV16" s="121"/>
      <c r="BW16" s="121"/>
      <c r="BX16" s="121"/>
      <c r="BY16" s="121"/>
      <c r="BZ16" s="121"/>
      <c r="CA16" s="121"/>
      <c r="CB16" s="121"/>
      <c r="CC16" s="121"/>
      <c r="CD16" s="121"/>
      <c r="CE16" s="121"/>
      <c r="CF16" s="121"/>
      <c r="CG16" s="121"/>
      <c r="CH16" s="121"/>
      <c r="CI16" s="121"/>
      <c r="CJ16" s="121"/>
      <c r="CK16" s="121"/>
      <c r="CL16" s="121"/>
      <c r="CM16" s="121"/>
      <c r="CN16" s="121"/>
      <c r="CO16" s="121"/>
      <c r="CP16" s="121"/>
      <c r="CQ16" s="121"/>
      <c r="CR16" s="121"/>
      <c r="CS16" s="121"/>
      <c r="CT16" s="121"/>
      <c r="CU16" s="121"/>
      <c r="CV16" s="121"/>
      <c r="CW16" s="121"/>
    </row>
    <row r="17" spans="1:101" ht="14.25" x14ac:dyDescent="0.2">
      <c r="A17" s="119"/>
      <c r="B17" s="252"/>
      <c r="C17" s="240"/>
      <c r="D17" s="240"/>
      <c r="E17" s="240"/>
      <c r="F17" s="240"/>
      <c r="G17" s="240"/>
      <c r="H17" s="240"/>
      <c r="I17" s="240"/>
      <c r="J17" s="241"/>
      <c r="K17" s="119"/>
      <c r="L17" s="119"/>
      <c r="M17" s="119"/>
      <c r="N17" s="121"/>
      <c r="O17" s="121"/>
      <c r="P17" s="121"/>
      <c r="BN17" s="121"/>
      <c r="BO17" s="121"/>
      <c r="BP17" s="121"/>
      <c r="BQ17" s="121"/>
      <c r="BR17" s="121"/>
      <c r="BS17" s="121"/>
      <c r="BT17" s="121"/>
      <c r="BU17" s="121"/>
      <c r="BV17" s="121"/>
      <c r="BW17" s="121"/>
      <c r="BX17" s="121"/>
      <c r="BY17" s="121"/>
      <c r="BZ17" s="121"/>
      <c r="CA17" s="121"/>
      <c r="CB17" s="121"/>
      <c r="CC17" s="121"/>
      <c r="CD17" s="121"/>
      <c r="CE17" s="121"/>
      <c r="CF17" s="121"/>
      <c r="CG17" s="121"/>
      <c r="CH17" s="121"/>
      <c r="CI17" s="121"/>
      <c r="CJ17" s="121"/>
      <c r="CK17" s="121"/>
      <c r="CL17" s="121"/>
      <c r="CM17" s="121"/>
      <c r="CN17" s="121"/>
      <c r="CO17" s="121"/>
      <c r="CP17" s="121"/>
      <c r="CQ17" s="121"/>
      <c r="CR17" s="121"/>
      <c r="CS17" s="121"/>
      <c r="CT17" s="121"/>
      <c r="CU17" s="121"/>
      <c r="CV17" s="121"/>
      <c r="CW17" s="121"/>
    </row>
    <row r="18" spans="1:101" ht="14.25" x14ac:dyDescent="0.2">
      <c r="A18" s="119"/>
      <c r="B18" s="164" t="s">
        <v>419</v>
      </c>
      <c r="C18" s="240"/>
      <c r="D18" s="240"/>
      <c r="E18" s="240"/>
      <c r="F18" s="240"/>
      <c r="G18" s="240"/>
      <c r="H18" s="240"/>
      <c r="I18" s="240"/>
      <c r="J18" s="241"/>
      <c r="K18" s="119"/>
      <c r="L18" s="119"/>
      <c r="M18" s="119"/>
      <c r="N18" s="121"/>
      <c r="O18" s="121"/>
      <c r="P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row>
    <row r="19" spans="1:101" ht="14.25" x14ac:dyDescent="0.2">
      <c r="A19" s="119"/>
      <c r="B19" s="253" t="s">
        <v>420</v>
      </c>
      <c r="C19" s="240"/>
      <c r="D19" s="240"/>
      <c r="E19" s="240"/>
      <c r="F19" s="240"/>
      <c r="G19" s="240"/>
      <c r="H19" s="240"/>
      <c r="I19" s="240"/>
      <c r="J19" s="241"/>
      <c r="K19" s="119"/>
      <c r="L19" s="119"/>
      <c r="M19" s="119"/>
      <c r="N19" s="121"/>
      <c r="O19" s="121"/>
      <c r="P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row>
    <row r="20" spans="1:101" ht="14.25" x14ac:dyDescent="0.2">
      <c r="A20" s="119"/>
      <c r="B20" s="439" t="s">
        <v>582</v>
      </c>
      <c r="C20" s="440"/>
      <c r="D20" s="440"/>
      <c r="E20" s="440"/>
      <c r="F20" s="440"/>
      <c r="G20" s="440"/>
      <c r="H20" s="440"/>
      <c r="I20" s="440"/>
      <c r="J20" s="441"/>
      <c r="K20" s="119"/>
      <c r="L20" s="119"/>
      <c r="M20" s="119"/>
      <c r="N20" s="121"/>
      <c r="O20" s="121"/>
      <c r="P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row>
    <row r="21" spans="1:101" ht="14.25" x14ac:dyDescent="0.2">
      <c r="A21" s="119"/>
      <c r="B21" s="253" t="s">
        <v>421</v>
      </c>
      <c r="C21" s="240"/>
      <c r="D21" s="240"/>
      <c r="E21" s="240"/>
      <c r="F21" s="240"/>
      <c r="G21" s="240"/>
      <c r="H21" s="240"/>
      <c r="I21" s="240"/>
      <c r="J21" s="241"/>
      <c r="K21" s="119"/>
      <c r="L21" s="119"/>
      <c r="M21" s="119"/>
      <c r="N21" s="121"/>
      <c r="O21" s="121"/>
      <c r="P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row>
    <row r="22" spans="1:101" ht="14.25" x14ac:dyDescent="0.2">
      <c r="A22" s="119"/>
      <c r="B22" s="439" t="s">
        <v>585</v>
      </c>
      <c r="C22" s="440"/>
      <c r="D22" s="440"/>
      <c r="E22" s="440"/>
      <c r="F22" s="440"/>
      <c r="G22" s="440"/>
      <c r="H22" s="440"/>
      <c r="I22" s="440"/>
      <c r="J22" s="441"/>
      <c r="K22" s="119"/>
      <c r="L22" s="119"/>
      <c r="M22" s="119"/>
      <c r="N22" s="121"/>
      <c r="O22" s="121"/>
      <c r="P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row>
    <row r="23" spans="1:101" ht="14.25" x14ac:dyDescent="0.2">
      <c r="A23" s="119"/>
      <c r="B23" s="439" t="s">
        <v>586</v>
      </c>
      <c r="C23" s="440"/>
      <c r="D23" s="440"/>
      <c r="E23" s="440"/>
      <c r="F23" s="440"/>
      <c r="G23" s="440"/>
      <c r="H23" s="440"/>
      <c r="I23" s="440"/>
      <c r="J23" s="441"/>
      <c r="K23" s="119"/>
      <c r="L23" s="119"/>
      <c r="M23" s="119"/>
      <c r="N23" s="121"/>
      <c r="O23" s="121"/>
      <c r="P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row>
    <row r="24" spans="1:101" ht="12.4" customHeight="1" thickBot="1" x14ac:dyDescent="0.25">
      <c r="A24" s="119"/>
      <c r="B24" s="92"/>
      <c r="C24" s="93"/>
      <c r="D24" s="93"/>
      <c r="E24" s="93"/>
      <c r="F24" s="93"/>
      <c r="G24" s="93"/>
      <c r="H24" s="93"/>
      <c r="I24" s="93"/>
      <c r="J24" s="95"/>
      <c r="K24" s="119"/>
      <c r="L24" s="119"/>
      <c r="M24" s="119"/>
      <c r="N24" s="121"/>
      <c r="O24" s="121"/>
      <c r="P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row>
    <row r="25" spans="1:101" s="151" customFormat="1" x14ac:dyDescent="0.2">
      <c r="A25" s="130"/>
      <c r="B25" s="155"/>
      <c r="C25" s="155"/>
      <c r="D25" s="155"/>
      <c r="E25" s="155"/>
      <c r="F25" s="155"/>
      <c r="G25" s="155"/>
      <c r="H25" s="155"/>
      <c r="I25" s="156"/>
      <c r="J25" s="130"/>
      <c r="K25" s="130"/>
      <c r="L25" s="130"/>
      <c r="M25" s="130"/>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c r="BR25" s="128"/>
      <c r="BS25" s="128"/>
      <c r="BT25" s="128"/>
      <c r="BU25" s="128"/>
      <c r="BV25" s="128"/>
      <c r="BW25" s="128"/>
      <c r="BX25" s="128"/>
      <c r="BY25" s="128"/>
      <c r="BZ25" s="128"/>
      <c r="CA25" s="128"/>
      <c r="CB25" s="128"/>
      <c r="CC25" s="128"/>
      <c r="CD25" s="128"/>
      <c r="CE25" s="128"/>
      <c r="CF25" s="128"/>
      <c r="CG25" s="128"/>
      <c r="CH25" s="128"/>
      <c r="CI25" s="128"/>
      <c r="CJ25" s="128"/>
      <c r="CK25" s="128"/>
      <c r="CL25" s="128"/>
      <c r="CM25" s="128"/>
      <c r="CN25" s="128"/>
      <c r="CO25" s="128"/>
      <c r="CP25" s="128"/>
      <c r="CQ25" s="128"/>
      <c r="CR25" s="128"/>
      <c r="CS25" s="128"/>
      <c r="CT25" s="128"/>
      <c r="CU25" s="128"/>
      <c r="CV25" s="128"/>
      <c r="CW25" s="128"/>
    </row>
    <row r="26" spans="1:101" s="127" customFormat="1" ht="14.25" x14ac:dyDescent="0.2">
      <c r="A26" s="123"/>
      <c r="B26" s="124" t="s">
        <v>19</v>
      </c>
      <c r="C26" s="125"/>
      <c r="D26" s="125"/>
      <c r="E26" s="125"/>
      <c r="F26" s="125"/>
      <c r="G26" s="123"/>
      <c r="H26" s="123"/>
      <c r="I26" s="123"/>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row>
    <row r="27" spans="1:101" s="121" customFormat="1" ht="30" customHeight="1" x14ac:dyDescent="0.2">
      <c r="B27" s="429" t="s">
        <v>392</v>
      </c>
      <c r="C27" s="430"/>
      <c r="D27" s="430"/>
      <c r="E27" s="430"/>
      <c r="F27" s="430"/>
      <c r="G27" s="430"/>
      <c r="H27" s="430"/>
      <c r="I27" s="430"/>
      <c r="J27" s="430"/>
    </row>
    <row r="28" spans="1:101" s="121" customFormat="1" ht="3" customHeight="1" x14ac:dyDescent="0.2">
      <c r="B28" s="216"/>
      <c r="C28" s="216"/>
      <c r="D28" s="216"/>
      <c r="E28" s="216"/>
      <c r="F28" s="216"/>
      <c r="G28" s="216"/>
      <c r="H28" s="216"/>
      <c r="I28" s="216"/>
      <c r="J28" s="216"/>
    </row>
    <row r="29" spans="1:101" s="121" customFormat="1" ht="14.25" x14ac:dyDescent="0.2">
      <c r="B29" s="429" t="s">
        <v>393</v>
      </c>
      <c r="C29" s="430"/>
      <c r="D29" s="430"/>
      <c r="E29" s="430"/>
      <c r="F29" s="430"/>
      <c r="G29" s="430"/>
      <c r="H29" s="430"/>
      <c r="I29" s="430"/>
      <c r="J29" s="430"/>
    </row>
    <row r="30" spans="1:101" s="121" customFormat="1" ht="14.25" x14ac:dyDescent="0.2">
      <c r="B30" s="229"/>
      <c r="C30" s="216"/>
      <c r="D30" s="216"/>
      <c r="E30" s="216"/>
      <c r="F30" s="216"/>
      <c r="G30" s="216"/>
      <c r="H30" s="216"/>
      <c r="I30" s="216"/>
      <c r="J30" s="216"/>
    </row>
    <row r="31" spans="1:101" s="121" customFormat="1" ht="14.25" x14ac:dyDescent="0.2">
      <c r="B31" s="435" t="s">
        <v>391</v>
      </c>
      <c r="C31" s="436"/>
      <c r="D31" s="436"/>
      <c r="E31" s="436"/>
      <c r="F31" s="436"/>
      <c r="G31" s="436"/>
      <c r="H31" s="436"/>
      <c r="I31" s="436"/>
      <c r="J31" s="436"/>
    </row>
    <row r="32" spans="1:101" s="121" customFormat="1" ht="14.25" x14ac:dyDescent="0.2">
      <c r="B32" s="216"/>
      <c r="C32" s="216"/>
      <c r="D32" s="216"/>
      <c r="E32" s="216"/>
      <c r="F32" s="216"/>
      <c r="G32" s="216"/>
      <c r="H32" s="216"/>
      <c r="I32" s="216"/>
      <c r="J32" s="216"/>
    </row>
    <row r="33" spans="2:10" s="121" customFormat="1" ht="18" x14ac:dyDescent="0.2">
      <c r="B33" s="437" t="s">
        <v>394</v>
      </c>
      <c r="C33" s="437"/>
      <c r="D33" s="437"/>
      <c r="E33" s="437"/>
      <c r="F33" s="437"/>
      <c r="G33" s="437"/>
      <c r="H33" s="437"/>
      <c r="I33" s="437"/>
      <c r="J33" s="437"/>
    </row>
    <row r="34" spans="2:10" s="121" customFormat="1" ht="3" customHeight="1" x14ac:dyDescent="0.2">
      <c r="B34" s="216"/>
      <c r="C34" s="216"/>
      <c r="D34" s="216"/>
      <c r="E34" s="216"/>
      <c r="F34" s="216"/>
      <c r="G34" s="216"/>
      <c r="H34" s="216"/>
      <c r="I34" s="216"/>
      <c r="J34" s="216"/>
    </row>
    <row r="35" spans="2:10" s="121" customFormat="1" ht="14.25" x14ac:dyDescent="0.2">
      <c r="B35" s="129" t="s">
        <v>8</v>
      </c>
      <c r="C35" s="216"/>
      <c r="D35" s="216"/>
      <c r="E35" s="216"/>
      <c r="F35" s="216"/>
      <c r="G35" s="216"/>
      <c r="H35" s="216"/>
      <c r="I35" s="216"/>
      <c r="J35" s="216"/>
    </row>
    <row r="36" spans="2:10" s="121" customFormat="1" ht="14.25" customHeight="1" x14ac:dyDescent="0.2">
      <c r="B36" s="434" t="s">
        <v>148</v>
      </c>
      <c r="C36" s="434"/>
      <c r="D36" s="434"/>
      <c r="E36" s="434"/>
      <c r="F36" s="434"/>
      <c r="G36" s="434"/>
      <c r="H36" s="434"/>
      <c r="I36" s="434"/>
      <c r="J36" s="434"/>
    </row>
    <row r="37" spans="2:10" s="121" customFormat="1" x14ac:dyDescent="0.2">
      <c r="B37" s="434" t="s">
        <v>437</v>
      </c>
      <c r="C37" s="434"/>
      <c r="D37" s="434"/>
      <c r="E37" s="434"/>
      <c r="F37" s="434"/>
      <c r="G37" s="434"/>
      <c r="H37" s="434"/>
      <c r="I37" s="434"/>
      <c r="J37" s="434"/>
    </row>
    <row r="38" spans="2:10" s="121" customFormat="1" x14ac:dyDescent="0.2">
      <c r="B38" s="434" t="s">
        <v>725</v>
      </c>
      <c r="C38" s="434"/>
      <c r="D38" s="434"/>
      <c r="E38" s="434"/>
      <c r="F38" s="434"/>
      <c r="G38" s="434"/>
      <c r="H38" s="434"/>
      <c r="I38" s="434"/>
      <c r="J38" s="434"/>
    </row>
    <row r="39" spans="2:10" s="121" customFormat="1" x14ac:dyDescent="0.2">
      <c r="B39" s="434" t="s">
        <v>438</v>
      </c>
      <c r="C39" s="434"/>
      <c r="D39" s="434"/>
      <c r="E39" s="434"/>
      <c r="F39" s="434"/>
      <c r="G39" s="434"/>
      <c r="H39" s="434"/>
      <c r="I39" s="434"/>
      <c r="J39" s="434"/>
    </row>
    <row r="40" spans="2:10" s="121" customFormat="1" ht="14.25" customHeight="1" x14ac:dyDescent="0.2">
      <c r="B40" s="434" t="s">
        <v>552</v>
      </c>
      <c r="C40" s="434"/>
      <c r="D40" s="434"/>
      <c r="E40" s="434"/>
      <c r="F40" s="434"/>
      <c r="G40" s="434"/>
      <c r="H40" s="434"/>
      <c r="I40" s="434"/>
      <c r="J40" s="434"/>
    </row>
    <row r="41" spans="2:10" s="121" customFormat="1" ht="14.25" customHeight="1" x14ac:dyDescent="0.2">
      <c r="B41" s="434" t="s">
        <v>436</v>
      </c>
      <c r="C41" s="434"/>
      <c r="D41" s="434"/>
      <c r="E41" s="434"/>
      <c r="F41" s="434"/>
      <c r="G41" s="434"/>
      <c r="H41" s="434"/>
      <c r="I41" s="434"/>
      <c r="J41" s="434"/>
    </row>
    <row r="42" spans="2:10" s="121" customFormat="1" ht="3" customHeight="1" x14ac:dyDescent="0.2">
      <c r="B42" s="216"/>
      <c r="C42" s="216"/>
      <c r="D42" s="216"/>
      <c r="E42" s="216"/>
      <c r="F42" s="216"/>
      <c r="G42" s="216"/>
      <c r="H42" s="216"/>
      <c r="I42" s="216"/>
      <c r="J42" s="216"/>
    </row>
    <row r="43" spans="2:10" s="121" customFormat="1" ht="15" x14ac:dyDescent="0.2">
      <c r="B43" s="131" t="s">
        <v>0</v>
      </c>
      <c r="C43" s="132"/>
      <c r="D43" s="132"/>
      <c r="E43" s="132"/>
      <c r="F43" s="132"/>
      <c r="G43" s="132"/>
      <c r="H43" s="132"/>
      <c r="I43" s="132"/>
      <c r="J43" s="133"/>
    </row>
    <row r="44" spans="2:10" s="121" customFormat="1" ht="3" customHeight="1" x14ac:dyDescent="0.2">
      <c r="B44" s="134"/>
      <c r="C44" s="134"/>
      <c r="D44" s="134"/>
      <c r="E44" s="134"/>
      <c r="F44" s="134"/>
      <c r="G44" s="134"/>
      <c r="H44" s="134"/>
      <c r="I44" s="134"/>
      <c r="J44" s="215"/>
    </row>
    <row r="45" spans="2:10" s="121" customFormat="1" ht="15" x14ac:dyDescent="0.2">
      <c r="B45" s="136" t="s">
        <v>2</v>
      </c>
      <c r="C45" s="136"/>
      <c r="D45" s="136"/>
      <c r="E45" s="137" t="s">
        <v>4</v>
      </c>
      <c r="F45" s="138"/>
      <c r="G45" s="138" t="s">
        <v>6</v>
      </c>
      <c r="H45" s="138" t="s">
        <v>3</v>
      </c>
      <c r="I45" s="138" t="s">
        <v>9</v>
      </c>
      <c r="J45" s="137" t="s">
        <v>15</v>
      </c>
    </row>
    <row r="46" spans="2:10" s="121" customFormat="1" ht="3" customHeight="1" x14ac:dyDescent="0.2">
      <c r="B46" s="134"/>
      <c r="C46" s="134"/>
      <c r="D46" s="134"/>
      <c r="E46" s="134"/>
      <c r="F46" s="134"/>
      <c r="G46" s="134"/>
      <c r="H46" s="134"/>
      <c r="I46" s="134"/>
      <c r="J46" s="215"/>
    </row>
    <row r="47" spans="2:10" s="121" customFormat="1" ht="15" x14ac:dyDescent="0.2">
      <c r="B47" s="134" t="s">
        <v>30</v>
      </c>
      <c r="C47" s="134"/>
      <c r="D47" s="134"/>
      <c r="E47" s="215" t="s">
        <v>31</v>
      </c>
      <c r="F47" s="134"/>
      <c r="G47" s="141"/>
      <c r="H47" s="139" t="s">
        <v>134</v>
      </c>
      <c r="I47" s="139" t="s">
        <v>18</v>
      </c>
      <c r="J47" s="215"/>
    </row>
    <row r="48" spans="2:10" s="121" customFormat="1" ht="3" customHeight="1" x14ac:dyDescent="0.2">
      <c r="B48" s="134"/>
      <c r="C48" s="134"/>
      <c r="D48" s="134"/>
      <c r="E48" s="215"/>
      <c r="F48" s="134"/>
      <c r="G48" s="139"/>
      <c r="H48" s="139"/>
      <c r="I48" s="139"/>
      <c r="J48" s="215"/>
    </row>
    <row r="49" spans="2:11" s="121" customFormat="1" x14ac:dyDescent="0.2">
      <c r="B49" s="134" t="s">
        <v>32</v>
      </c>
      <c r="C49" s="134"/>
      <c r="D49" s="134"/>
      <c r="E49" s="214" t="s">
        <v>33</v>
      </c>
      <c r="F49" s="134"/>
      <c r="G49" s="139">
        <v>0.1</v>
      </c>
      <c r="H49" s="139" t="s">
        <v>5</v>
      </c>
      <c r="I49" s="148" t="str">
        <f>IF(Freg_formulation=0.1, "D", "S")</f>
        <v>D</v>
      </c>
      <c r="J49" s="215"/>
    </row>
    <row r="50" spans="2:11" s="121" customFormat="1" ht="3" customHeight="1" x14ac:dyDescent="0.2">
      <c r="B50" s="134"/>
      <c r="C50" s="134"/>
      <c r="D50" s="134"/>
      <c r="E50" s="214"/>
      <c r="F50" s="134"/>
      <c r="G50" s="139"/>
      <c r="H50" s="139"/>
      <c r="I50" s="139"/>
      <c r="J50" s="215"/>
    </row>
    <row r="51" spans="2:11" s="121" customFormat="1" ht="15" x14ac:dyDescent="0.2">
      <c r="B51" s="134" t="s">
        <v>139</v>
      </c>
      <c r="C51" s="134"/>
      <c r="D51" s="134"/>
      <c r="E51" s="214" t="s">
        <v>140</v>
      </c>
      <c r="F51" s="134"/>
      <c r="G51" s="227" t="str">
        <f>IF(ISNUMBER(TONNAGE_formulation), TONNAGE_formulation*Freg_formulation,"??")</f>
        <v>??</v>
      </c>
      <c r="H51" s="139" t="s">
        <v>134</v>
      </c>
      <c r="I51" s="139" t="s">
        <v>7</v>
      </c>
      <c r="J51" s="215" t="s">
        <v>357</v>
      </c>
    </row>
    <row r="52" spans="2:11" s="121" customFormat="1" ht="3" customHeight="1" x14ac:dyDescent="0.2">
      <c r="B52" s="134"/>
      <c r="C52" s="134"/>
      <c r="D52" s="134"/>
      <c r="E52" s="215"/>
      <c r="F52" s="134"/>
      <c r="G52" s="139"/>
      <c r="H52" s="139"/>
      <c r="I52" s="139"/>
      <c r="J52" s="215"/>
    </row>
    <row r="53" spans="2:11" s="121" customFormat="1" ht="30" customHeight="1" x14ac:dyDescent="0.2">
      <c r="B53" s="431" t="s">
        <v>359</v>
      </c>
      <c r="C53" s="431"/>
      <c r="D53" s="134"/>
      <c r="E53" s="215" t="s">
        <v>358</v>
      </c>
      <c r="F53" s="134"/>
      <c r="G53" s="141"/>
      <c r="H53" s="139" t="s">
        <v>5</v>
      </c>
      <c r="I53" s="139" t="s">
        <v>18</v>
      </c>
      <c r="J53" s="322" t="s">
        <v>573</v>
      </c>
    </row>
    <row r="54" spans="2:11" s="121" customFormat="1" ht="3" customHeight="1" x14ac:dyDescent="0.2">
      <c r="B54" s="134"/>
      <c r="C54" s="134"/>
      <c r="D54" s="134"/>
      <c r="E54" s="215"/>
      <c r="F54" s="134"/>
      <c r="G54" s="139"/>
      <c r="H54" s="139"/>
      <c r="I54" s="139"/>
      <c r="J54" s="215"/>
    </row>
    <row r="55" spans="2:11" s="121" customFormat="1" ht="27" customHeight="1" x14ac:dyDescent="0.2">
      <c r="B55" s="134" t="s">
        <v>360</v>
      </c>
      <c r="C55" s="134"/>
      <c r="D55" s="134"/>
      <c r="E55" s="215" t="s">
        <v>361</v>
      </c>
      <c r="F55" s="134"/>
      <c r="G55" s="227" t="str">
        <f>IF(AND(ISNUMBER(TONNAGEreg_formulation), ISNUMBER(Fchem_form_formulation)),TONNAGEreg_formulation/Fchem_form_formulation,"??")</f>
        <v>??</v>
      </c>
      <c r="H55" s="139" t="s">
        <v>134</v>
      </c>
      <c r="I55" s="139" t="s">
        <v>7</v>
      </c>
      <c r="J55" s="213" t="s">
        <v>653</v>
      </c>
    </row>
    <row r="56" spans="2:11" s="121" customFormat="1" ht="3" customHeight="1" thickBot="1" x14ac:dyDescent="0.25">
      <c r="B56" s="134"/>
      <c r="C56" s="134"/>
      <c r="D56" s="134"/>
      <c r="E56" s="215"/>
      <c r="F56" s="134"/>
      <c r="G56" s="139"/>
      <c r="H56" s="139"/>
      <c r="I56" s="139"/>
      <c r="J56" s="213"/>
    </row>
    <row r="57" spans="2:11" s="121" customFormat="1" ht="34.5" customHeight="1" thickTop="1" thickBot="1" x14ac:dyDescent="0.25">
      <c r="B57" s="431" t="s">
        <v>726</v>
      </c>
      <c r="C57" s="431"/>
      <c r="D57" s="134"/>
      <c r="E57" s="444" t="s">
        <v>380</v>
      </c>
      <c r="F57" s="444"/>
      <c r="G57" s="444"/>
      <c r="H57" s="139"/>
      <c r="I57" s="139"/>
      <c r="J57" s="213"/>
    </row>
    <row r="58" spans="2:11" s="121" customFormat="1" ht="3" customHeight="1" thickTop="1" x14ac:dyDescent="0.2">
      <c r="B58" s="215"/>
      <c r="C58" s="213"/>
      <c r="D58" s="134"/>
      <c r="E58" s="215"/>
      <c r="F58" s="134"/>
      <c r="G58" s="139"/>
      <c r="H58" s="139"/>
      <c r="I58" s="139"/>
      <c r="J58" s="213"/>
    </row>
    <row r="59" spans="2:11" s="121" customFormat="1" x14ac:dyDescent="0.2">
      <c r="B59" s="134" t="s">
        <v>377</v>
      </c>
      <c r="C59" s="134"/>
      <c r="D59" s="134"/>
      <c r="E59" s="215" t="s">
        <v>165</v>
      </c>
      <c r="F59" s="134"/>
      <c r="G59" s="36" t="str">
        <f>INDEX('Pick-lists &amp; Defaults'!C70:C75,MATCH(TONNAGE_reg_form_picklist,tonnage_range_paints,0))</f>
        <v>??</v>
      </c>
      <c r="H59" s="139" t="s">
        <v>5</v>
      </c>
      <c r="I59" s="139" t="s">
        <v>237</v>
      </c>
      <c r="J59" s="215" t="s">
        <v>568</v>
      </c>
      <c r="K59" s="84"/>
    </row>
    <row r="60" spans="2:11" s="121" customFormat="1" ht="3" customHeight="1" x14ac:dyDescent="0.2">
      <c r="B60" s="134"/>
      <c r="C60" s="134"/>
      <c r="D60" s="134"/>
      <c r="E60" s="215"/>
      <c r="F60" s="134"/>
      <c r="G60" s="139"/>
      <c r="H60" s="139"/>
      <c r="I60" s="139"/>
      <c r="J60" s="215"/>
    </row>
    <row r="61" spans="2:11" s="121" customFormat="1" ht="25.5" x14ac:dyDescent="0.2">
      <c r="B61" s="134" t="s">
        <v>164</v>
      </c>
      <c r="C61" s="134"/>
      <c r="D61" s="134"/>
      <c r="E61" s="215" t="s">
        <v>378</v>
      </c>
      <c r="F61" s="134"/>
      <c r="G61" s="139">
        <v>300</v>
      </c>
      <c r="H61" s="139" t="s">
        <v>651</v>
      </c>
      <c r="I61" s="148" t="str">
        <f>IF(Temission_formulation=300, "D", "S")</f>
        <v>D</v>
      </c>
      <c r="J61" s="233" t="s">
        <v>569</v>
      </c>
    </row>
    <row r="62" spans="2:11" s="121" customFormat="1" ht="3" customHeight="1" x14ac:dyDescent="0.2">
      <c r="B62" s="134"/>
      <c r="C62" s="134"/>
      <c r="D62" s="134"/>
      <c r="E62" s="215"/>
      <c r="F62" s="134"/>
      <c r="G62" s="139"/>
      <c r="H62" s="139"/>
      <c r="I62" s="139"/>
      <c r="J62" s="215"/>
    </row>
    <row r="63" spans="2:11" s="121" customFormat="1" x14ac:dyDescent="0.2">
      <c r="B63" s="213" t="s">
        <v>379</v>
      </c>
      <c r="C63" s="134"/>
      <c r="D63" s="134"/>
      <c r="E63" s="215" t="s">
        <v>97</v>
      </c>
      <c r="F63" s="134"/>
      <c r="G63" s="36" t="str">
        <f>IF(ISNUMBER(TONNAGEregform_formulation),IF(TONNAGEregform_formulation&lt;1000,'Pick-lists &amp; Defaults'!C15,'Pick-lists &amp; Defaults'!C16),"??")</f>
        <v>??</v>
      </c>
      <c r="H63" s="139" t="s">
        <v>5</v>
      </c>
      <c r="I63" s="139" t="s">
        <v>237</v>
      </c>
      <c r="J63" s="213" t="s">
        <v>570</v>
      </c>
      <c r="K63" s="140"/>
    </row>
    <row r="64" spans="2:11" s="121" customFormat="1" ht="3" customHeight="1" thickBot="1" x14ac:dyDescent="0.25">
      <c r="B64" s="233"/>
      <c r="C64" s="134"/>
      <c r="D64" s="134"/>
      <c r="E64" s="238"/>
      <c r="F64" s="134"/>
      <c r="G64" s="238"/>
      <c r="H64" s="139"/>
      <c r="I64" s="139"/>
      <c r="J64" s="233"/>
      <c r="K64" s="140"/>
    </row>
    <row r="65" spans="2:11" s="121" customFormat="1" ht="17.25" thickTop="1" thickBot="1" x14ac:dyDescent="0.25">
      <c r="B65" s="233" t="s">
        <v>400</v>
      </c>
      <c r="C65" s="67" t="s">
        <v>348</v>
      </c>
      <c r="D65" s="134"/>
      <c r="E65" s="238" t="s">
        <v>401</v>
      </c>
      <c r="F65" s="134"/>
      <c r="G65" s="36" t="str">
        <f>INDEX('Pick-lists &amp; Defaults'!C7:C11,MATCH('PT6-paints&amp;coatings'!C65,vapour_pressure,0))</f>
        <v>??</v>
      </c>
      <c r="H65" s="139" t="s">
        <v>5</v>
      </c>
      <c r="I65" s="139" t="s">
        <v>237</v>
      </c>
      <c r="J65" s="233" t="s">
        <v>570</v>
      </c>
      <c r="K65" s="140"/>
    </row>
    <row r="66" spans="2:11" s="121" customFormat="1" ht="3" customHeight="1" thickTop="1" x14ac:dyDescent="0.2">
      <c r="B66" s="233"/>
      <c r="C66" s="134"/>
      <c r="D66" s="134"/>
      <c r="E66" s="238"/>
      <c r="F66" s="134"/>
      <c r="G66" s="238"/>
      <c r="H66" s="139"/>
      <c r="I66" s="139"/>
      <c r="J66" s="233"/>
      <c r="K66" s="140"/>
    </row>
    <row r="67" spans="2:11" s="121" customFormat="1" x14ac:dyDescent="0.2">
      <c r="B67" s="233" t="s">
        <v>402</v>
      </c>
      <c r="C67" s="134"/>
      <c r="D67" s="134"/>
      <c r="E67" s="238" t="s">
        <v>403</v>
      </c>
      <c r="F67" s="134"/>
      <c r="G67" s="139">
        <v>1E-4</v>
      </c>
      <c r="H67" s="139" t="s">
        <v>5</v>
      </c>
      <c r="I67" s="148" t="str">
        <f>IF(Fsoil_form=0.0001, "D", "S")</f>
        <v>D</v>
      </c>
      <c r="J67" s="248" t="s">
        <v>571</v>
      </c>
      <c r="K67" s="140"/>
    </row>
    <row r="68" spans="2:11" s="121" customFormat="1" ht="3" customHeight="1" x14ac:dyDescent="0.2">
      <c r="B68" s="213"/>
      <c r="C68" s="134"/>
      <c r="D68" s="134"/>
      <c r="E68" s="215"/>
      <c r="F68" s="134"/>
      <c r="G68" s="134"/>
      <c r="H68" s="139"/>
      <c r="I68" s="139"/>
      <c r="J68" s="215"/>
    </row>
    <row r="69" spans="2:11" s="121" customFormat="1" x14ac:dyDescent="0.2">
      <c r="B69" s="427" t="s">
        <v>404</v>
      </c>
      <c r="C69" s="467"/>
      <c r="D69" s="134"/>
      <c r="E69" s="238" t="s">
        <v>385</v>
      </c>
      <c r="F69" s="134"/>
      <c r="G69" s="141"/>
      <c r="H69" s="139" t="s">
        <v>5</v>
      </c>
      <c r="I69" s="139" t="s">
        <v>18</v>
      </c>
      <c r="J69" s="238"/>
    </row>
    <row r="70" spans="2:11" s="121" customFormat="1" ht="3" customHeight="1" x14ac:dyDescent="0.2">
      <c r="B70" s="427"/>
      <c r="C70" s="467"/>
      <c r="D70" s="134"/>
      <c r="E70" s="238"/>
      <c r="F70" s="134"/>
      <c r="G70" s="134"/>
      <c r="H70" s="139"/>
      <c r="I70" s="139"/>
      <c r="J70" s="238"/>
    </row>
    <row r="71" spans="2:11" s="121" customFormat="1" x14ac:dyDescent="0.2">
      <c r="B71" s="427"/>
      <c r="C71" s="467"/>
      <c r="D71" s="134"/>
      <c r="E71" s="238" t="s">
        <v>405</v>
      </c>
      <c r="F71" s="134"/>
      <c r="G71" s="141"/>
      <c r="H71" s="139" t="s">
        <v>5</v>
      </c>
      <c r="I71" s="139" t="s">
        <v>18</v>
      </c>
      <c r="J71" s="238"/>
    </row>
    <row r="72" spans="2:11" s="121" customFormat="1" ht="3" customHeight="1" x14ac:dyDescent="0.2">
      <c r="B72" s="427"/>
      <c r="C72" s="467"/>
      <c r="D72" s="134"/>
      <c r="E72" s="238"/>
      <c r="F72" s="134"/>
      <c r="G72" s="134"/>
      <c r="H72" s="139"/>
      <c r="I72" s="139"/>
      <c r="J72" s="238"/>
    </row>
    <row r="73" spans="2:11" s="121" customFormat="1" x14ac:dyDescent="0.2">
      <c r="B73" s="427"/>
      <c r="C73" s="467"/>
      <c r="D73" s="134"/>
      <c r="E73" s="215" t="s">
        <v>406</v>
      </c>
      <c r="F73" s="134"/>
      <c r="G73" s="141"/>
      <c r="H73" s="139" t="s">
        <v>5</v>
      </c>
      <c r="I73" s="139" t="s">
        <v>18</v>
      </c>
      <c r="J73" s="215"/>
    </row>
    <row r="74" spans="2:11" s="121" customFormat="1" x14ac:dyDescent="0.2">
      <c r="B74" s="134"/>
      <c r="C74" s="134"/>
      <c r="D74" s="134"/>
      <c r="E74" s="134"/>
      <c r="F74" s="134"/>
      <c r="G74" s="134"/>
      <c r="H74" s="134"/>
      <c r="I74" s="134"/>
      <c r="J74" s="215"/>
    </row>
    <row r="75" spans="2:11" s="121" customFormat="1" ht="15" x14ac:dyDescent="0.2">
      <c r="B75" s="131" t="s">
        <v>1</v>
      </c>
      <c r="C75" s="132"/>
      <c r="D75" s="132"/>
      <c r="E75" s="132"/>
      <c r="F75" s="132"/>
      <c r="G75" s="132"/>
      <c r="H75" s="132"/>
      <c r="I75" s="132"/>
      <c r="J75" s="133"/>
    </row>
    <row r="76" spans="2:11" s="121" customFormat="1" ht="3" customHeight="1" x14ac:dyDescent="0.2">
      <c r="B76" s="134"/>
      <c r="C76" s="134"/>
      <c r="D76" s="134"/>
      <c r="E76" s="134"/>
      <c r="F76" s="134"/>
      <c r="G76" s="134"/>
      <c r="H76" s="134"/>
      <c r="I76" s="134"/>
      <c r="J76" s="215"/>
    </row>
    <row r="77" spans="2:11" s="121" customFormat="1" ht="15" x14ac:dyDescent="0.2">
      <c r="B77" s="136" t="s">
        <v>2</v>
      </c>
      <c r="C77" s="136"/>
      <c r="D77" s="136"/>
      <c r="E77" s="137" t="s">
        <v>4</v>
      </c>
      <c r="F77" s="138"/>
      <c r="G77" s="138" t="s">
        <v>6</v>
      </c>
      <c r="H77" s="138" t="s">
        <v>3</v>
      </c>
      <c r="I77" s="138" t="s">
        <v>9</v>
      </c>
      <c r="J77" s="137" t="s">
        <v>15</v>
      </c>
    </row>
    <row r="78" spans="2:11" s="121" customFormat="1" ht="3" customHeight="1" x14ac:dyDescent="0.2">
      <c r="B78" s="136"/>
      <c r="C78" s="136"/>
      <c r="D78" s="136"/>
      <c r="E78" s="137"/>
      <c r="F78" s="138"/>
      <c r="G78" s="138"/>
      <c r="H78" s="138"/>
      <c r="I78" s="138"/>
      <c r="J78" s="137"/>
    </row>
    <row r="79" spans="2:11" s="121" customFormat="1" ht="15" customHeight="1" x14ac:dyDescent="0.2">
      <c r="B79" s="161" t="s">
        <v>57</v>
      </c>
      <c r="C79" s="86"/>
      <c r="D79" s="134"/>
      <c r="E79" s="134" t="s">
        <v>44</v>
      </c>
      <c r="F79" s="134"/>
      <c r="G79" s="149" t="str">
        <f>IF(AND(ISNUMBER(TONNAGEreg_formulation),ISNUMBER(Fmainsource_formulation),ISNUMBER(Fwater_form)),TONNAGEreg_formulation*1000*Fmainsource_formulation*Fwater_form/Temission_formulation,"??")</f>
        <v>??</v>
      </c>
      <c r="H79" s="139" t="s">
        <v>16</v>
      </c>
      <c r="I79" s="139" t="s">
        <v>7</v>
      </c>
      <c r="J79" s="217" t="s">
        <v>411</v>
      </c>
    </row>
    <row r="80" spans="2:11" s="121" customFormat="1" ht="3" customHeight="1" x14ac:dyDescent="0.2">
      <c r="B80" s="161"/>
      <c r="C80" s="86"/>
      <c r="D80" s="134"/>
      <c r="E80" s="134"/>
      <c r="F80" s="134"/>
      <c r="G80" s="134"/>
      <c r="H80" s="139"/>
      <c r="I80" s="139"/>
      <c r="J80" s="234"/>
    </row>
    <row r="81" spans="2:10" s="121" customFormat="1" ht="15" x14ac:dyDescent="0.2">
      <c r="B81" s="161" t="s">
        <v>408</v>
      </c>
      <c r="C81" s="86"/>
      <c r="D81" s="134"/>
      <c r="E81" s="134" t="s">
        <v>296</v>
      </c>
      <c r="F81" s="134"/>
      <c r="G81" s="149" t="str">
        <f>IF(AND(ISNUMBER(TONNAGEreg_formulation),ISNUMBER(Fmainsource_formulation),ISNUMBER(Fair_form)),TONNAGEreg_formulation*1000*Fmainsource_formulation*Fair_form/Temission_formulation,"??")</f>
        <v>??</v>
      </c>
      <c r="H81" s="139" t="s">
        <v>16</v>
      </c>
      <c r="I81" s="139" t="s">
        <v>7</v>
      </c>
      <c r="J81" s="234" t="s">
        <v>412</v>
      </c>
    </row>
    <row r="82" spans="2:10" s="121" customFormat="1" ht="3" customHeight="1" x14ac:dyDescent="0.2">
      <c r="B82" s="161"/>
      <c r="C82" s="86"/>
      <c r="D82" s="134"/>
      <c r="E82" s="134"/>
      <c r="F82" s="134"/>
      <c r="G82" s="134"/>
      <c r="H82" s="139"/>
      <c r="I82" s="139"/>
      <c r="J82" s="234"/>
    </row>
    <row r="83" spans="2:10" s="121" customFormat="1" ht="15" customHeight="1" x14ac:dyDescent="0.2">
      <c r="B83" s="161" t="s">
        <v>409</v>
      </c>
      <c r="C83" s="86"/>
      <c r="D83" s="134"/>
      <c r="E83" s="134" t="s">
        <v>410</v>
      </c>
      <c r="F83" s="134"/>
      <c r="G83" s="149" t="str">
        <f>IF(AND(ISNUMBER(TONNAGEreg_formulation),ISNUMBER(Fmainsource_formulation)),TONNAGEreg_formulation*1000*Fmainsource_formulation*Fsoil_form/Temission_formulation,"??")</f>
        <v>??</v>
      </c>
      <c r="H83" s="139" t="s">
        <v>16</v>
      </c>
      <c r="I83" s="139" t="s">
        <v>7</v>
      </c>
      <c r="J83" s="234" t="s">
        <v>413</v>
      </c>
    </row>
    <row r="84" spans="2:10" s="121" customFormat="1" ht="3" customHeight="1" x14ac:dyDescent="0.2">
      <c r="B84" s="161"/>
      <c r="C84" s="86"/>
      <c r="D84" s="134"/>
      <c r="E84" s="134"/>
      <c r="F84" s="134"/>
      <c r="G84" s="134"/>
      <c r="H84" s="139"/>
      <c r="I84" s="139"/>
      <c r="J84" s="234"/>
    </row>
    <row r="85" spans="2:10" s="121" customFormat="1" x14ac:dyDescent="0.2">
      <c r="B85" s="162" t="s">
        <v>407</v>
      </c>
      <c r="C85" s="86"/>
      <c r="D85" s="134"/>
      <c r="E85" s="134"/>
      <c r="F85" s="134"/>
      <c r="G85" s="134"/>
      <c r="H85" s="139"/>
      <c r="I85" s="139"/>
      <c r="J85" s="234"/>
    </row>
    <row r="86" spans="2:10" s="121" customFormat="1" ht="15" customHeight="1" x14ac:dyDescent="0.2">
      <c r="B86" s="161" t="s">
        <v>386</v>
      </c>
      <c r="C86" s="86"/>
      <c r="D86" s="134"/>
      <c r="E86" s="134" t="s">
        <v>387</v>
      </c>
      <c r="F86" s="134"/>
      <c r="G86" s="149" t="str">
        <f>IF(AND(ISNUMBER(TONNAGEreg_formulation),ISNUMBER(Fmainsource_formulation),ISNUMBER(Fwater_ref)),TONNAGEreg_formulation*1000*Fmainsource_formulation*Fwater_ref/Temission_formulation,"??")</f>
        <v>??</v>
      </c>
      <c r="H86" s="139" t="s">
        <v>16</v>
      </c>
      <c r="I86" s="139" t="s">
        <v>7</v>
      </c>
      <c r="J86" s="217" t="s">
        <v>546</v>
      </c>
    </row>
    <row r="87" spans="2:10" s="121" customFormat="1" ht="3" customHeight="1" x14ac:dyDescent="0.2">
      <c r="B87" s="161"/>
      <c r="C87" s="86"/>
      <c r="D87" s="134"/>
      <c r="E87" s="134"/>
      <c r="F87" s="134"/>
      <c r="G87" s="134"/>
      <c r="H87" s="139"/>
      <c r="I87" s="139"/>
      <c r="J87" s="234"/>
    </row>
    <row r="88" spans="2:10" s="121" customFormat="1" ht="15" customHeight="1" x14ac:dyDescent="0.2">
      <c r="B88" s="161" t="s">
        <v>414</v>
      </c>
      <c r="C88" s="86"/>
      <c r="D88" s="134"/>
      <c r="E88" s="134" t="s">
        <v>416</v>
      </c>
      <c r="F88" s="134"/>
      <c r="G88" s="149" t="str">
        <f>IF(AND(ISNUMBER(TONNAGEreg_formulation),ISNUMBER(Fmainsource_formulation),ISNUMBER(Fair_ref)),TONNAGEreg_formulation*1000*Fmainsource_formulation*Fair_ref/Temission_formulation,"??")</f>
        <v>??</v>
      </c>
      <c r="H88" s="139" t="s">
        <v>16</v>
      </c>
      <c r="I88" s="139" t="s">
        <v>7</v>
      </c>
      <c r="J88" s="234" t="s">
        <v>547</v>
      </c>
    </row>
    <row r="89" spans="2:10" s="121" customFormat="1" ht="3" customHeight="1" x14ac:dyDescent="0.2">
      <c r="B89" s="161"/>
      <c r="C89" s="86"/>
      <c r="D89" s="134"/>
      <c r="E89" s="134"/>
      <c r="F89" s="134"/>
      <c r="G89" s="134"/>
      <c r="H89" s="139"/>
      <c r="I89" s="139"/>
      <c r="J89" s="217"/>
    </row>
    <row r="90" spans="2:10" s="121" customFormat="1" ht="15" customHeight="1" x14ac:dyDescent="0.2">
      <c r="B90" s="161" t="s">
        <v>415</v>
      </c>
      <c r="C90" s="86"/>
      <c r="D90" s="134"/>
      <c r="E90" s="134" t="s">
        <v>417</v>
      </c>
      <c r="F90" s="134"/>
      <c r="G90" s="149" t="str">
        <f>IF(AND(ISNUMBER(TONNAGEreg_formulation),ISNUMBER(Fmainsource_formulation),ISNUMBER(Fsoil_ref)),TONNAGEreg_formulation*1000*Fmainsource_formulation*Fsoil_ref/Temission_formulation,"??")</f>
        <v>??</v>
      </c>
      <c r="H90" s="139" t="s">
        <v>16</v>
      </c>
      <c r="I90" s="139" t="s">
        <v>7</v>
      </c>
      <c r="J90" s="234" t="s">
        <v>548</v>
      </c>
    </row>
    <row r="91" spans="2:10" s="121" customFormat="1" x14ac:dyDescent="0.2">
      <c r="B91" s="161"/>
      <c r="C91" s="86"/>
      <c r="D91" s="134"/>
      <c r="E91" s="134"/>
      <c r="F91" s="134"/>
      <c r="G91" s="134"/>
      <c r="H91" s="139"/>
      <c r="I91" s="139"/>
      <c r="J91" s="234"/>
    </row>
    <row r="92" spans="2:10" s="121" customFormat="1" x14ac:dyDescent="0.2">
      <c r="B92" s="143" t="s">
        <v>10</v>
      </c>
      <c r="J92" s="146"/>
    </row>
    <row r="93" spans="2:10" s="121" customFormat="1" x14ac:dyDescent="0.2">
      <c r="B93" s="143"/>
      <c r="J93" s="146"/>
    </row>
    <row r="94" spans="2:10" s="121" customFormat="1" x14ac:dyDescent="0.2">
      <c r="B94" s="256" t="s">
        <v>422</v>
      </c>
      <c r="J94" s="146"/>
    </row>
    <row r="95" spans="2:10" s="121" customFormat="1" x14ac:dyDescent="0.2">
      <c r="B95" s="255"/>
      <c r="J95" s="146"/>
    </row>
    <row r="96" spans="2:10" s="121" customFormat="1" ht="14.25" x14ac:dyDescent="0.2">
      <c r="B96" s="232"/>
      <c r="C96" s="232"/>
      <c r="D96" s="232"/>
      <c r="E96" s="232"/>
      <c r="F96" s="232"/>
      <c r="G96" s="232"/>
      <c r="H96" s="232"/>
      <c r="I96" s="232"/>
      <c r="J96" s="232"/>
    </row>
    <row r="97" spans="2:10" s="121" customFormat="1" ht="14.25" x14ac:dyDescent="0.2">
      <c r="B97" s="435" t="s">
        <v>381</v>
      </c>
      <c r="C97" s="436"/>
      <c r="D97" s="436"/>
      <c r="E97" s="436"/>
      <c r="F97" s="436"/>
      <c r="G97" s="436"/>
      <c r="H97" s="436"/>
      <c r="I97" s="436"/>
      <c r="J97" s="436"/>
    </row>
    <row r="98" spans="2:10" s="121" customFormat="1" ht="14.25" x14ac:dyDescent="0.2">
      <c r="B98" s="232"/>
      <c r="C98" s="232"/>
      <c r="D98" s="232"/>
      <c r="E98" s="232"/>
      <c r="F98" s="232"/>
      <c r="G98" s="232"/>
      <c r="H98" s="232"/>
      <c r="I98" s="232"/>
      <c r="J98" s="232"/>
    </row>
    <row r="99" spans="2:10" s="121" customFormat="1" ht="14.25" x14ac:dyDescent="0.2">
      <c r="B99" s="432" t="s">
        <v>382</v>
      </c>
      <c r="C99" s="433"/>
      <c r="D99" s="433"/>
      <c r="E99" s="433"/>
      <c r="F99" s="433"/>
      <c r="G99" s="433"/>
      <c r="H99" s="433"/>
      <c r="I99" s="433"/>
      <c r="J99" s="433"/>
    </row>
    <row r="100" spans="2:10" s="121" customFormat="1" ht="14.25" x14ac:dyDescent="0.2">
      <c r="B100" s="163"/>
      <c r="C100" s="163"/>
      <c r="D100" s="163"/>
      <c r="E100" s="163"/>
      <c r="F100" s="163"/>
      <c r="G100" s="163"/>
      <c r="H100" s="163"/>
      <c r="I100" s="163"/>
      <c r="J100" s="163"/>
    </row>
    <row r="101" spans="2:10" s="121" customFormat="1" ht="18" x14ac:dyDescent="0.2">
      <c r="B101" s="437" t="s">
        <v>574</v>
      </c>
      <c r="C101" s="437"/>
      <c r="D101" s="437"/>
      <c r="E101" s="437"/>
      <c r="F101" s="437"/>
      <c r="G101" s="437"/>
      <c r="H101" s="437"/>
      <c r="I101" s="437"/>
      <c r="J101" s="437"/>
    </row>
    <row r="102" spans="2:10" s="121" customFormat="1" ht="3" customHeight="1" x14ac:dyDescent="0.2">
      <c r="B102" s="163"/>
      <c r="C102" s="163"/>
      <c r="D102" s="163"/>
      <c r="E102" s="163"/>
      <c r="F102" s="163"/>
      <c r="G102" s="163"/>
      <c r="H102" s="163"/>
      <c r="I102" s="163"/>
      <c r="J102" s="163"/>
    </row>
    <row r="103" spans="2:10" s="121" customFormat="1" ht="14.25" x14ac:dyDescent="0.2">
      <c r="B103" s="129" t="s">
        <v>8</v>
      </c>
      <c r="C103" s="163"/>
      <c r="D103" s="163"/>
      <c r="E103" s="163"/>
      <c r="F103" s="163"/>
      <c r="G103" s="163"/>
      <c r="H103" s="163"/>
      <c r="I103" s="163"/>
      <c r="J103" s="163"/>
    </row>
    <row r="104" spans="2:10" s="121" customFormat="1" ht="14.25" customHeight="1" x14ac:dyDescent="0.2">
      <c r="B104" s="469" t="s">
        <v>181</v>
      </c>
      <c r="C104" s="469"/>
      <c r="D104" s="469"/>
      <c r="E104" s="469"/>
      <c r="F104" s="469"/>
      <c r="G104" s="469"/>
      <c r="H104" s="469"/>
      <c r="I104" s="469"/>
      <c r="J104" s="469"/>
    </row>
    <row r="105" spans="2:10" s="121" customFormat="1" ht="14.25" customHeight="1" x14ac:dyDescent="0.2">
      <c r="B105" s="469" t="s">
        <v>182</v>
      </c>
      <c r="C105" s="469"/>
      <c r="D105" s="469"/>
      <c r="E105" s="469"/>
      <c r="F105" s="469"/>
      <c r="G105" s="469"/>
      <c r="H105" s="469"/>
      <c r="I105" s="469"/>
      <c r="J105" s="469"/>
    </row>
    <row r="106" spans="2:10" s="121" customFormat="1" ht="3" customHeight="1" x14ac:dyDescent="0.2">
      <c r="B106" s="163"/>
      <c r="C106" s="163"/>
      <c r="D106" s="163"/>
      <c r="E106" s="163"/>
      <c r="F106" s="163"/>
      <c r="G106" s="163"/>
      <c r="H106" s="163"/>
      <c r="I106" s="163"/>
      <c r="J106" s="163"/>
    </row>
    <row r="107" spans="2:10" s="121" customFormat="1" ht="15" x14ac:dyDescent="0.2">
      <c r="B107" s="131" t="s">
        <v>0</v>
      </c>
      <c r="C107" s="132"/>
      <c r="D107" s="132"/>
      <c r="E107" s="132"/>
      <c r="F107" s="132"/>
      <c r="G107" s="132"/>
      <c r="H107" s="132"/>
      <c r="I107" s="132"/>
      <c r="J107" s="133"/>
    </row>
    <row r="108" spans="2:10" s="121" customFormat="1" ht="3" customHeight="1" x14ac:dyDescent="0.2">
      <c r="B108" s="134"/>
      <c r="C108" s="134"/>
      <c r="D108" s="134"/>
      <c r="E108" s="134"/>
      <c r="F108" s="134"/>
      <c r="G108" s="134"/>
      <c r="H108" s="134"/>
      <c r="I108" s="134"/>
      <c r="J108" s="135"/>
    </row>
    <row r="109" spans="2:10" s="121" customFormat="1" ht="15" x14ac:dyDescent="0.2">
      <c r="B109" s="136" t="s">
        <v>2</v>
      </c>
      <c r="C109" s="136"/>
      <c r="D109" s="136"/>
      <c r="E109" s="137" t="s">
        <v>4</v>
      </c>
      <c r="F109" s="138"/>
      <c r="G109" s="138" t="s">
        <v>6</v>
      </c>
      <c r="H109" s="138" t="s">
        <v>3</v>
      </c>
      <c r="I109" s="138" t="s">
        <v>9</v>
      </c>
      <c r="J109" s="137" t="s">
        <v>15</v>
      </c>
    </row>
    <row r="110" spans="2:10" s="121" customFormat="1" ht="3" customHeight="1" x14ac:dyDescent="0.2">
      <c r="B110" s="134"/>
      <c r="C110" s="134"/>
      <c r="D110" s="134"/>
      <c r="E110" s="134"/>
      <c r="F110" s="134"/>
      <c r="G110" s="134"/>
      <c r="H110" s="134"/>
      <c r="I110" s="134"/>
      <c r="J110" s="135"/>
    </row>
    <row r="111" spans="2:10" s="121" customFormat="1" ht="27.75" customHeight="1" x14ac:dyDescent="0.2">
      <c r="B111" s="431" t="s">
        <v>158</v>
      </c>
      <c r="C111" s="431"/>
      <c r="D111" s="134"/>
      <c r="E111" s="135" t="s">
        <v>31</v>
      </c>
      <c r="F111" s="134"/>
      <c r="G111" s="141"/>
      <c r="H111" s="139" t="s">
        <v>134</v>
      </c>
      <c r="I111" s="139" t="s">
        <v>18</v>
      </c>
      <c r="J111" s="135"/>
    </row>
    <row r="112" spans="2:10" s="121" customFormat="1" ht="3" customHeight="1" x14ac:dyDescent="0.2">
      <c r="B112" s="134"/>
      <c r="C112" s="134"/>
      <c r="D112" s="134"/>
      <c r="E112" s="135"/>
      <c r="F112" s="134"/>
      <c r="G112" s="139"/>
      <c r="H112" s="139"/>
      <c r="I112" s="139"/>
      <c r="J112" s="135"/>
    </row>
    <row r="113" spans="2:10" s="121" customFormat="1" ht="15" x14ac:dyDescent="0.2">
      <c r="B113" s="431" t="s">
        <v>159</v>
      </c>
      <c r="C113" s="431"/>
      <c r="D113" s="134"/>
      <c r="E113" s="135" t="s">
        <v>160</v>
      </c>
      <c r="F113" s="134"/>
      <c r="G113" s="141"/>
      <c r="H113" s="139" t="s">
        <v>126</v>
      </c>
      <c r="I113" s="139" t="s">
        <v>18</v>
      </c>
      <c r="J113" s="135"/>
    </row>
    <row r="114" spans="2:10" s="121" customFormat="1" ht="3" customHeight="1" x14ac:dyDescent="0.2">
      <c r="B114" s="134"/>
      <c r="C114" s="134"/>
      <c r="D114" s="134"/>
      <c r="E114" s="135"/>
      <c r="F114" s="134"/>
      <c r="G114" s="139"/>
      <c r="H114" s="139"/>
      <c r="I114" s="139"/>
      <c r="J114" s="135"/>
    </row>
    <row r="115" spans="2:10" s="121" customFormat="1" ht="15" x14ac:dyDescent="0.2">
      <c r="B115" s="431" t="s">
        <v>161</v>
      </c>
      <c r="C115" s="431"/>
      <c r="D115" s="134"/>
      <c r="E115" s="135" t="s">
        <v>162</v>
      </c>
      <c r="F115" s="134"/>
      <c r="G115" s="149" t="str">
        <f>IF(AND(ISNUMBER(Tonnage),ISNUMBER(Q_coat)),Tonnage/Q_coat,"??")</f>
        <v>??</v>
      </c>
      <c r="H115" s="139" t="s">
        <v>134</v>
      </c>
      <c r="I115" s="139" t="s">
        <v>7</v>
      </c>
      <c r="J115" s="135" t="s">
        <v>180</v>
      </c>
    </row>
    <row r="116" spans="2:10" s="121" customFormat="1" ht="3" customHeight="1" x14ac:dyDescent="0.2">
      <c r="B116" s="134"/>
      <c r="C116" s="134"/>
      <c r="D116" s="134"/>
      <c r="E116" s="135"/>
      <c r="F116" s="134"/>
      <c r="G116" s="139"/>
      <c r="H116" s="139"/>
      <c r="I116" s="139"/>
      <c r="J116" s="135"/>
    </row>
    <row r="117" spans="2:10" s="121" customFormat="1" x14ac:dyDescent="0.2">
      <c r="B117" s="426" t="s">
        <v>163</v>
      </c>
      <c r="C117" s="426"/>
      <c r="D117" s="134"/>
      <c r="E117" s="159" t="s">
        <v>33</v>
      </c>
      <c r="F117" s="134"/>
      <c r="G117" s="139">
        <v>0.1</v>
      </c>
      <c r="H117" s="139" t="s">
        <v>5</v>
      </c>
      <c r="I117" s="148" t="str">
        <f>IF(Freg_ton=0.1, "D", "S")</f>
        <v>D</v>
      </c>
      <c r="J117" s="135"/>
    </row>
    <row r="118" spans="2:10" s="121" customFormat="1" ht="3" customHeight="1" x14ac:dyDescent="0.2">
      <c r="B118" s="134"/>
      <c r="C118" s="134"/>
      <c r="D118" s="134"/>
      <c r="E118" s="159"/>
      <c r="F118" s="134"/>
      <c r="G118" s="139"/>
      <c r="H118" s="139"/>
      <c r="I118" s="139"/>
      <c r="J118" s="135"/>
    </row>
    <row r="119" spans="2:10" s="121" customFormat="1" ht="15" x14ac:dyDescent="0.2">
      <c r="B119" s="134" t="s">
        <v>164</v>
      </c>
      <c r="C119" s="134"/>
      <c r="D119" s="134"/>
      <c r="E119" s="135" t="s">
        <v>378</v>
      </c>
      <c r="F119" s="134"/>
      <c r="G119" s="139">
        <v>300</v>
      </c>
      <c r="H119" s="139" t="s">
        <v>651</v>
      </c>
      <c r="I119" s="148" t="str">
        <f>IF(Temission_ton=300, "D", "S")</f>
        <v>D</v>
      </c>
      <c r="J119" s="135"/>
    </row>
    <row r="120" spans="2:10" s="121" customFormat="1" ht="3" customHeight="1" x14ac:dyDescent="0.2">
      <c r="B120" s="134"/>
      <c r="C120" s="134"/>
      <c r="D120" s="134"/>
      <c r="E120" s="135"/>
      <c r="F120" s="134"/>
      <c r="G120" s="139"/>
      <c r="H120" s="139"/>
      <c r="I120" s="139"/>
      <c r="J120" s="135"/>
    </row>
    <row r="121" spans="2:10" s="121" customFormat="1" x14ac:dyDescent="0.2">
      <c r="B121" s="431" t="s">
        <v>133</v>
      </c>
      <c r="C121" s="431"/>
      <c r="D121" s="134"/>
      <c r="E121" s="159" t="s">
        <v>165</v>
      </c>
      <c r="F121" s="134"/>
      <c r="G121" s="139">
        <v>2E-3</v>
      </c>
      <c r="H121" s="142" t="s">
        <v>5</v>
      </c>
      <c r="I121" s="148" t="str">
        <f>IF(Fmainsource_ton=0.002, "D", "S")</f>
        <v>D</v>
      </c>
      <c r="J121" s="135"/>
    </row>
    <row r="122" spans="2:10" s="121" customFormat="1" ht="3" customHeight="1" x14ac:dyDescent="0.2">
      <c r="B122" s="134"/>
      <c r="C122" s="134"/>
      <c r="D122" s="134"/>
      <c r="E122" s="135"/>
      <c r="F122" s="134"/>
      <c r="G122" s="139"/>
      <c r="H122" s="139"/>
      <c r="I122" s="139"/>
      <c r="J122" s="135"/>
    </row>
    <row r="123" spans="2:10" s="121" customFormat="1" ht="15" x14ac:dyDescent="0.2">
      <c r="B123" s="162" t="s">
        <v>171</v>
      </c>
      <c r="C123" s="134"/>
      <c r="D123" s="134"/>
      <c r="E123" s="135"/>
      <c r="F123" s="134"/>
      <c r="G123" s="139"/>
      <c r="H123" s="139"/>
      <c r="I123" s="148"/>
      <c r="J123" s="135"/>
    </row>
    <row r="124" spans="2:10" s="121" customFormat="1" ht="3" customHeight="1" x14ac:dyDescent="0.2">
      <c r="B124" s="192"/>
      <c r="C124" s="192"/>
      <c r="D124" s="134"/>
      <c r="E124" s="135"/>
      <c r="F124" s="134"/>
      <c r="G124" s="139"/>
      <c r="H124" s="139"/>
      <c r="I124" s="139"/>
      <c r="J124" s="135"/>
    </row>
    <row r="125" spans="2:10" s="121" customFormat="1" ht="24" customHeight="1" x14ac:dyDescent="0.2">
      <c r="B125" s="431" t="s">
        <v>167</v>
      </c>
      <c r="C125" s="431"/>
      <c r="D125" s="134"/>
      <c r="E125" s="160" t="s">
        <v>168</v>
      </c>
      <c r="F125" s="134"/>
      <c r="G125" s="139">
        <v>93</v>
      </c>
      <c r="H125" s="139" t="s">
        <v>25</v>
      </c>
      <c r="I125" s="148" t="str">
        <f>IF(Fair_ton=93, "D", "S")</f>
        <v>D</v>
      </c>
      <c r="J125" s="135" t="s">
        <v>649</v>
      </c>
    </row>
    <row r="126" spans="2:10" s="121" customFormat="1" ht="3" customHeight="1" x14ac:dyDescent="0.2">
      <c r="B126" s="134"/>
      <c r="C126" s="134"/>
      <c r="D126" s="134"/>
      <c r="E126" s="135"/>
      <c r="F126" s="134"/>
      <c r="G126" s="139"/>
      <c r="H126" s="139"/>
      <c r="I126" s="139"/>
      <c r="J126" s="135"/>
    </row>
    <row r="127" spans="2:10" s="121" customFormat="1" ht="15" x14ac:dyDescent="0.2">
      <c r="B127" s="162" t="s">
        <v>172</v>
      </c>
      <c r="C127" s="134"/>
      <c r="D127" s="134"/>
      <c r="E127" s="135"/>
      <c r="F127" s="134"/>
      <c r="G127" s="139"/>
      <c r="H127" s="139"/>
      <c r="I127" s="148"/>
      <c r="J127" s="135"/>
    </row>
    <row r="128" spans="2:10" s="121" customFormat="1" ht="3" customHeight="1" x14ac:dyDescent="0.2">
      <c r="B128" s="192"/>
      <c r="C128" s="192"/>
      <c r="D128" s="134"/>
      <c r="E128" s="135"/>
      <c r="F128" s="134"/>
      <c r="G128" s="139"/>
      <c r="H128" s="139"/>
      <c r="I128" s="139"/>
      <c r="J128" s="135"/>
    </row>
    <row r="129" spans="2:10" s="121" customFormat="1" ht="24" customHeight="1" x14ac:dyDescent="0.2">
      <c r="B129" s="431" t="s">
        <v>173</v>
      </c>
      <c r="C129" s="431"/>
      <c r="D129" s="134"/>
      <c r="E129" s="160" t="s">
        <v>174</v>
      </c>
      <c r="F129" s="134"/>
      <c r="G129" s="139">
        <v>1.5</v>
      </c>
      <c r="H129" s="139" t="s">
        <v>25</v>
      </c>
      <c r="I129" s="148" t="str">
        <f>IF(Fwater_ton=1.5, "D", "S")</f>
        <v>D</v>
      </c>
      <c r="J129" s="360" t="s">
        <v>649</v>
      </c>
    </row>
    <row r="130" spans="2:10" s="121" customFormat="1" ht="3" customHeight="1" x14ac:dyDescent="0.2">
      <c r="B130" s="134"/>
      <c r="C130" s="134"/>
      <c r="D130" s="134"/>
      <c r="E130" s="135"/>
      <c r="F130" s="134"/>
      <c r="G130" s="139"/>
      <c r="H130" s="139"/>
      <c r="I130" s="139"/>
      <c r="J130" s="135"/>
    </row>
    <row r="131" spans="2:10" s="121" customFormat="1" ht="15" x14ac:dyDescent="0.2">
      <c r="B131" s="131" t="s">
        <v>1</v>
      </c>
      <c r="C131" s="132"/>
      <c r="D131" s="132"/>
      <c r="E131" s="132"/>
      <c r="F131" s="132"/>
      <c r="G131" s="132"/>
      <c r="H131" s="132"/>
      <c r="I131" s="132"/>
      <c r="J131" s="133"/>
    </row>
    <row r="132" spans="2:10" s="121" customFormat="1" ht="3" customHeight="1" x14ac:dyDescent="0.2">
      <c r="B132" s="134"/>
      <c r="C132" s="134"/>
      <c r="D132" s="134"/>
      <c r="E132" s="134"/>
      <c r="F132" s="134"/>
      <c r="G132" s="134"/>
      <c r="H132" s="134"/>
      <c r="I132" s="134"/>
      <c r="J132" s="135"/>
    </row>
    <row r="133" spans="2:10" s="121" customFormat="1" ht="15" x14ac:dyDescent="0.2">
      <c r="B133" s="136" t="s">
        <v>2</v>
      </c>
      <c r="C133" s="136"/>
      <c r="D133" s="136"/>
      <c r="E133" s="137" t="s">
        <v>4</v>
      </c>
      <c r="F133" s="138"/>
      <c r="G133" s="138" t="s">
        <v>6</v>
      </c>
      <c r="H133" s="138" t="s">
        <v>3</v>
      </c>
      <c r="I133" s="138" t="s">
        <v>9</v>
      </c>
      <c r="J133" s="137" t="s">
        <v>15</v>
      </c>
    </row>
    <row r="134" spans="2:10" s="121" customFormat="1" ht="3" customHeight="1" x14ac:dyDescent="0.2">
      <c r="B134" s="136"/>
      <c r="C134" s="136"/>
      <c r="D134" s="136"/>
      <c r="E134" s="137"/>
      <c r="F134" s="138"/>
      <c r="G134" s="138"/>
      <c r="H134" s="138"/>
      <c r="I134" s="138"/>
      <c r="J134" s="137"/>
    </row>
    <row r="135" spans="2:10" s="121" customFormat="1" x14ac:dyDescent="0.2">
      <c r="B135" s="167" t="s">
        <v>166</v>
      </c>
      <c r="C135" s="136"/>
      <c r="D135" s="136"/>
      <c r="E135" s="137"/>
      <c r="F135" s="138"/>
      <c r="G135" s="138"/>
      <c r="H135" s="138"/>
      <c r="I135" s="138"/>
      <c r="J135" s="137"/>
    </row>
    <row r="136" spans="2:10" s="121" customFormat="1" ht="3" customHeight="1" x14ac:dyDescent="0.2">
      <c r="B136" s="188"/>
      <c r="C136" s="193"/>
      <c r="D136" s="193"/>
      <c r="E136" s="194"/>
      <c r="F136" s="195"/>
      <c r="G136" s="195"/>
      <c r="H136" s="195"/>
      <c r="I136" s="195"/>
      <c r="J136" s="194"/>
    </row>
    <row r="137" spans="2:10" s="121" customFormat="1" ht="25.5" x14ac:dyDescent="0.2">
      <c r="B137" s="427" t="s">
        <v>175</v>
      </c>
      <c r="C137" s="427"/>
      <c r="D137" s="134"/>
      <c r="E137" s="134" t="s">
        <v>178</v>
      </c>
      <c r="F137" s="134"/>
      <c r="G137" s="149" t="str">
        <f>IF(ISNUMBER(Qinit_coat),Qinit_coat*1000*Freg_ton*Q_coat*(Fair_ton/100)*Fmainsource_ton/Temission_ton,"??")</f>
        <v>??</v>
      </c>
      <c r="H137" s="139" t="s">
        <v>16</v>
      </c>
      <c r="I137" s="139" t="s">
        <v>7</v>
      </c>
      <c r="J137" s="144" t="s">
        <v>508</v>
      </c>
    </row>
    <row r="138" spans="2:10" s="121" customFormat="1" ht="3" customHeight="1" x14ac:dyDescent="0.2">
      <c r="B138" s="144"/>
      <c r="C138" s="144"/>
      <c r="D138" s="134"/>
      <c r="E138" s="134"/>
      <c r="F138" s="134"/>
      <c r="G138" s="134"/>
      <c r="H138" s="139"/>
      <c r="I138" s="139"/>
      <c r="J138" s="144"/>
    </row>
    <row r="139" spans="2:10" s="121" customFormat="1" x14ac:dyDescent="0.2">
      <c r="B139" s="468" t="s">
        <v>176</v>
      </c>
      <c r="C139" s="468"/>
      <c r="D139" s="134"/>
      <c r="E139" s="134"/>
      <c r="F139" s="134"/>
      <c r="G139" s="134"/>
      <c r="H139" s="139"/>
      <c r="I139" s="139"/>
      <c r="J139" s="144"/>
    </row>
    <row r="140" spans="2:10" s="121" customFormat="1" ht="3" customHeight="1" x14ac:dyDescent="0.2">
      <c r="B140" s="196"/>
      <c r="C140" s="196"/>
      <c r="D140" s="192"/>
      <c r="E140" s="192"/>
      <c r="F140" s="192"/>
      <c r="G140" s="192"/>
      <c r="H140" s="197"/>
      <c r="I140" s="197"/>
      <c r="J140" s="198"/>
    </row>
    <row r="141" spans="2:10" s="121" customFormat="1" ht="25.5" x14ac:dyDescent="0.2">
      <c r="B141" s="459" t="s">
        <v>177</v>
      </c>
      <c r="C141" s="459"/>
      <c r="D141" s="134"/>
      <c r="E141" s="134" t="s">
        <v>179</v>
      </c>
      <c r="F141" s="134"/>
      <c r="G141" s="149" t="str">
        <f>IF(ISNUMBER(Qinit_coat),Qinit_coat*1000*Freg_ton*Q_coat*(Fwater_ton/100)*Fmainsource_ton/Temission_ton,"??")</f>
        <v>??</v>
      </c>
      <c r="H141" s="139" t="s">
        <v>16</v>
      </c>
      <c r="I141" s="139" t="s">
        <v>7</v>
      </c>
      <c r="J141" s="144" t="s">
        <v>509</v>
      </c>
    </row>
    <row r="142" spans="2:10" s="121" customFormat="1" x14ac:dyDescent="0.2">
      <c r="B142" s="161"/>
      <c r="C142" s="86"/>
      <c r="D142" s="134"/>
      <c r="E142" s="134"/>
      <c r="F142" s="134"/>
      <c r="G142" s="134"/>
      <c r="H142" s="139"/>
      <c r="I142" s="139"/>
      <c r="J142" s="144"/>
    </row>
    <row r="143" spans="2:10" s="121" customFormat="1" x14ac:dyDescent="0.2">
      <c r="B143" s="143" t="s">
        <v>10</v>
      </c>
      <c r="J143" s="146"/>
    </row>
    <row r="144" spans="2:10" s="121" customFormat="1" ht="30.75" customHeight="1" x14ac:dyDescent="0.2">
      <c r="B144" s="438" t="s">
        <v>170</v>
      </c>
      <c r="C144" s="438"/>
      <c r="D144" s="438"/>
      <c r="E144" s="438"/>
      <c r="F144" s="438"/>
      <c r="G144" s="438"/>
      <c r="H144" s="438"/>
      <c r="I144" s="438"/>
      <c r="J144" s="438"/>
    </row>
    <row r="145" spans="1:101" s="121" customFormat="1" x14ac:dyDescent="0.2">
      <c r="B145" s="235"/>
      <c r="C145" s="235"/>
      <c r="D145" s="235"/>
      <c r="E145" s="235"/>
      <c r="F145" s="235"/>
      <c r="G145" s="235"/>
      <c r="H145" s="235"/>
      <c r="I145" s="235"/>
      <c r="J145" s="235"/>
    </row>
    <row r="146" spans="1:101" s="121" customFormat="1" x14ac:dyDescent="0.2">
      <c r="B146" s="255" t="s">
        <v>422</v>
      </c>
      <c r="C146" s="168"/>
      <c r="D146" s="168"/>
      <c r="E146" s="168"/>
      <c r="F146" s="168"/>
      <c r="G146" s="168"/>
      <c r="H146" s="168"/>
      <c r="I146" s="168"/>
      <c r="J146" s="168"/>
    </row>
    <row r="147" spans="1:101" s="121" customFormat="1" ht="14.25" x14ac:dyDescent="0.2">
      <c r="B147" s="232"/>
      <c r="C147" s="232"/>
      <c r="D147" s="232"/>
      <c r="E147" s="232"/>
      <c r="F147" s="232"/>
      <c r="G147" s="232"/>
      <c r="H147" s="232"/>
      <c r="I147" s="232"/>
      <c r="J147" s="232"/>
    </row>
    <row r="148" spans="1:101" s="121" customFormat="1" ht="14.25" customHeight="1" x14ac:dyDescent="0.2">
      <c r="B148" s="432" t="s">
        <v>383</v>
      </c>
      <c r="C148" s="433"/>
      <c r="D148" s="433"/>
      <c r="E148" s="433"/>
      <c r="F148" s="433"/>
      <c r="G148" s="433"/>
      <c r="H148" s="433"/>
      <c r="I148" s="433"/>
      <c r="J148" s="433"/>
    </row>
    <row r="149" spans="1:101" s="121" customFormat="1" ht="14.25" x14ac:dyDescent="0.2">
      <c r="B149" s="163"/>
      <c r="C149" s="163"/>
      <c r="D149" s="163"/>
      <c r="E149" s="163"/>
      <c r="F149" s="163"/>
      <c r="G149" s="163"/>
      <c r="H149" s="163"/>
      <c r="I149" s="163"/>
      <c r="J149" s="163"/>
    </row>
    <row r="150" spans="1:101" s="121" customFormat="1" ht="18" x14ac:dyDescent="0.2">
      <c r="A150" s="119"/>
      <c r="B150" s="448" t="s">
        <v>575</v>
      </c>
      <c r="C150" s="448"/>
      <c r="D150" s="448"/>
      <c r="E150" s="448"/>
      <c r="F150" s="448"/>
      <c r="G150" s="448"/>
      <c r="H150" s="448"/>
      <c r="I150" s="448"/>
      <c r="J150" s="448"/>
      <c r="BG150" s="122"/>
      <c r="BH150" s="122"/>
    </row>
    <row r="151" spans="1:101" s="121" customFormat="1" ht="3" customHeight="1" x14ac:dyDescent="0.2">
      <c r="A151" s="119"/>
      <c r="B151" s="119"/>
      <c r="C151" s="119"/>
      <c r="D151" s="119"/>
      <c r="E151" s="119"/>
      <c r="F151" s="119"/>
      <c r="G151" s="119"/>
      <c r="H151" s="120"/>
      <c r="I151" s="119"/>
      <c r="J151" s="119"/>
      <c r="BG151" s="122"/>
      <c r="BH151" s="122"/>
    </row>
    <row r="152" spans="1:101" s="121" customFormat="1" x14ac:dyDescent="0.2">
      <c r="B152" s="129" t="s">
        <v>8</v>
      </c>
      <c r="C152" s="128"/>
      <c r="D152" s="128"/>
      <c r="E152" s="128"/>
      <c r="F152" s="128"/>
      <c r="G152" s="128"/>
      <c r="H152" s="128"/>
      <c r="I152" s="128"/>
      <c r="J152" s="64"/>
      <c r="BN152" s="122"/>
      <c r="BO152" s="122"/>
      <c r="BP152" s="122"/>
      <c r="BQ152" s="122"/>
      <c r="BR152" s="122"/>
      <c r="BS152" s="122"/>
      <c r="BT152" s="122"/>
      <c r="BU152" s="122"/>
      <c r="BV152" s="122"/>
      <c r="BW152" s="122"/>
      <c r="BX152" s="122"/>
      <c r="BY152" s="122"/>
      <c r="BZ152" s="122"/>
      <c r="CA152" s="122"/>
      <c r="CB152" s="122"/>
      <c r="CC152" s="122"/>
      <c r="CD152" s="122"/>
      <c r="CE152" s="122"/>
      <c r="CF152" s="122"/>
      <c r="CG152" s="122"/>
      <c r="CH152" s="122"/>
      <c r="CI152" s="122"/>
      <c r="CJ152" s="122"/>
      <c r="CK152" s="122"/>
      <c r="CL152" s="122"/>
      <c r="CM152" s="122"/>
      <c r="CN152" s="122"/>
      <c r="CO152" s="122"/>
      <c r="CP152" s="122"/>
      <c r="CQ152" s="122"/>
      <c r="CR152" s="122"/>
      <c r="CS152" s="122"/>
      <c r="CT152" s="122"/>
      <c r="CU152" s="122"/>
      <c r="CV152" s="122"/>
      <c r="CW152" s="122"/>
    </row>
    <row r="153" spans="1:101" s="121" customFormat="1" x14ac:dyDescent="0.2">
      <c r="B153" s="126" t="s">
        <v>249</v>
      </c>
      <c r="C153" s="126"/>
      <c r="D153" s="126"/>
      <c r="E153" s="126"/>
      <c r="F153" s="126"/>
      <c r="G153" s="126"/>
      <c r="H153" s="126"/>
      <c r="I153" s="126"/>
      <c r="J153" s="103"/>
    </row>
    <row r="154" spans="1:101" s="121" customFormat="1" x14ac:dyDescent="0.2">
      <c r="B154" s="449" t="s">
        <v>250</v>
      </c>
      <c r="C154" s="449"/>
      <c r="D154" s="449"/>
      <c r="E154" s="449"/>
      <c r="F154" s="449"/>
      <c r="G154" s="449"/>
      <c r="H154" s="449"/>
      <c r="I154" s="449"/>
      <c r="J154" s="449"/>
    </row>
    <row r="155" spans="1:101" s="121" customFormat="1" ht="3" customHeight="1" x14ac:dyDescent="0.2">
      <c r="B155" s="145"/>
      <c r="J155" s="146"/>
    </row>
    <row r="156" spans="1:101" s="121" customFormat="1" ht="15" x14ac:dyDescent="0.2">
      <c r="B156" s="131" t="s">
        <v>0</v>
      </c>
      <c r="C156" s="132"/>
      <c r="D156" s="132"/>
      <c r="E156" s="132"/>
      <c r="F156" s="132"/>
      <c r="G156" s="132"/>
      <c r="H156" s="132"/>
      <c r="I156" s="132"/>
      <c r="J156" s="133"/>
      <c r="K156" s="66"/>
    </row>
    <row r="157" spans="1:101" s="121" customFormat="1" ht="3" customHeight="1" x14ac:dyDescent="0.2">
      <c r="B157" s="134"/>
      <c r="C157" s="134"/>
      <c r="D157" s="134"/>
      <c r="E157" s="134"/>
      <c r="F157" s="134"/>
      <c r="G157" s="134"/>
      <c r="H157" s="134"/>
      <c r="I157" s="134"/>
      <c r="J157" s="135"/>
    </row>
    <row r="158" spans="1:101" s="121" customFormat="1" ht="15" x14ac:dyDescent="0.2">
      <c r="B158" s="136" t="s">
        <v>2</v>
      </c>
      <c r="C158" s="136"/>
      <c r="D158" s="136"/>
      <c r="E158" s="137" t="s">
        <v>4</v>
      </c>
      <c r="F158" s="138"/>
      <c r="G158" s="138" t="s">
        <v>6</v>
      </c>
      <c r="H158" s="138" t="s">
        <v>3</v>
      </c>
      <c r="I158" s="138" t="s">
        <v>9</v>
      </c>
      <c r="J158" s="137" t="s">
        <v>15</v>
      </c>
    </row>
    <row r="159" spans="1:101" s="348" customFormat="1" ht="3" customHeight="1" x14ac:dyDescent="0.2">
      <c r="B159" s="136"/>
      <c r="C159" s="136"/>
      <c r="D159" s="136"/>
      <c r="E159" s="137"/>
      <c r="F159" s="138"/>
      <c r="G159" s="138"/>
      <c r="H159" s="138"/>
      <c r="I159" s="138"/>
      <c r="J159" s="137"/>
    </row>
    <row r="160" spans="1:101" s="348" customFormat="1" ht="15" x14ac:dyDescent="0.2">
      <c r="B160" s="431" t="s">
        <v>691</v>
      </c>
      <c r="C160" s="431"/>
      <c r="D160" s="136"/>
      <c r="E160" s="376" t="s">
        <v>692</v>
      </c>
      <c r="F160" s="138"/>
      <c r="G160" s="139">
        <v>3</v>
      </c>
      <c r="H160" s="139" t="s">
        <v>22</v>
      </c>
      <c r="I160" s="139" t="s">
        <v>17</v>
      </c>
      <c r="J160" s="395" t="s">
        <v>772</v>
      </c>
    </row>
    <row r="161" spans="2:16" s="348" customFormat="1" ht="3" customHeight="1" x14ac:dyDescent="0.2">
      <c r="B161" s="136"/>
      <c r="C161" s="136"/>
      <c r="D161" s="136"/>
      <c r="E161" s="137"/>
      <c r="F161" s="138"/>
      <c r="G161" s="138"/>
      <c r="H161" s="139"/>
      <c r="I161" s="139"/>
      <c r="J161" s="378"/>
    </row>
    <row r="162" spans="2:16" s="348" customFormat="1" ht="25.5" customHeight="1" x14ac:dyDescent="0.2">
      <c r="B162" s="431" t="s">
        <v>690</v>
      </c>
      <c r="C162" s="431"/>
      <c r="D162" s="136"/>
      <c r="E162" s="376" t="s">
        <v>693</v>
      </c>
      <c r="F162" s="138"/>
      <c r="G162" s="139">
        <v>1</v>
      </c>
      <c r="H162" s="139" t="s">
        <v>22</v>
      </c>
      <c r="I162" s="139" t="s">
        <v>17</v>
      </c>
      <c r="J162" s="378"/>
    </row>
    <row r="163" spans="2:16" s="348" customFormat="1" ht="3" customHeight="1" x14ac:dyDescent="0.2">
      <c r="B163" s="134"/>
      <c r="C163" s="134"/>
      <c r="D163" s="134"/>
      <c r="E163" s="134"/>
      <c r="F163" s="134"/>
      <c r="G163" s="134"/>
      <c r="H163" s="134"/>
      <c r="I163" s="134"/>
      <c r="J163" s="376"/>
    </row>
    <row r="164" spans="2:16" s="121" customFormat="1" ht="15" x14ac:dyDescent="0.2">
      <c r="B164" s="426" t="s">
        <v>697</v>
      </c>
      <c r="C164" s="426"/>
      <c r="D164" s="134"/>
      <c r="E164" s="159" t="s">
        <v>183</v>
      </c>
      <c r="F164" s="134"/>
      <c r="G164" s="139">
        <v>125</v>
      </c>
      <c r="H164" s="139" t="s">
        <v>73</v>
      </c>
      <c r="I164" s="148" t="str">
        <f>IF(Area_facade_sprayer=125, "D", "S")</f>
        <v>D</v>
      </c>
      <c r="J164" s="135"/>
      <c r="N164" s="140"/>
    </row>
    <row r="165" spans="2:16" s="121" customFormat="1" ht="3" customHeight="1" x14ac:dyDescent="0.2">
      <c r="B165" s="134"/>
      <c r="C165" s="134"/>
      <c r="D165" s="134"/>
      <c r="E165" s="159"/>
      <c r="F165" s="134"/>
      <c r="G165" s="139"/>
      <c r="H165" s="139"/>
      <c r="I165" s="139"/>
      <c r="J165" s="135"/>
    </row>
    <row r="166" spans="2:16" s="121" customFormat="1" ht="27.75" x14ac:dyDescent="0.2">
      <c r="B166" s="426" t="s">
        <v>184</v>
      </c>
      <c r="C166" s="426"/>
      <c r="D166" s="134"/>
      <c r="E166" s="159" t="s">
        <v>185</v>
      </c>
      <c r="F166" s="134"/>
      <c r="G166" s="141"/>
      <c r="H166" s="139" t="s">
        <v>67</v>
      </c>
      <c r="I166" s="148" t="s">
        <v>18</v>
      </c>
      <c r="J166" s="160" t="s">
        <v>190</v>
      </c>
    </row>
    <row r="167" spans="2:16" s="121" customFormat="1" ht="3" customHeight="1" x14ac:dyDescent="0.2">
      <c r="B167" s="134"/>
      <c r="C167" s="134"/>
      <c r="D167" s="134"/>
      <c r="E167" s="159"/>
      <c r="F167" s="134"/>
      <c r="G167" s="139"/>
      <c r="H167" s="139"/>
      <c r="I167" s="139"/>
      <c r="J167" s="135"/>
    </row>
    <row r="168" spans="2:16" s="121" customFormat="1" x14ac:dyDescent="0.2">
      <c r="B168" s="431" t="s">
        <v>186</v>
      </c>
      <c r="C168" s="431"/>
      <c r="D168" s="134"/>
      <c r="E168" s="159" t="s">
        <v>187</v>
      </c>
      <c r="F168" s="134"/>
      <c r="G168" s="141"/>
      <c r="H168" s="139" t="s">
        <v>5</v>
      </c>
      <c r="I168" s="148" t="s">
        <v>18</v>
      </c>
      <c r="J168" s="135"/>
      <c r="M168" s="126"/>
      <c r="N168" s="126"/>
      <c r="O168" s="126"/>
      <c r="P168" s="126"/>
    </row>
    <row r="169" spans="2:16" s="121" customFormat="1" ht="3" customHeight="1" x14ac:dyDescent="0.2">
      <c r="B169" s="134"/>
      <c r="C169" s="134"/>
      <c r="D169" s="134"/>
      <c r="E169" s="159"/>
      <c r="F169" s="134"/>
      <c r="G169" s="139"/>
      <c r="H169" s="139"/>
      <c r="I169" s="139"/>
      <c r="J169" s="135"/>
      <c r="M169" s="126"/>
      <c r="N169" s="126"/>
      <c r="O169" s="126"/>
      <c r="P169" s="126"/>
    </row>
    <row r="170" spans="2:16" s="121" customFormat="1" ht="27.75" x14ac:dyDescent="0.2">
      <c r="B170" s="426" t="s">
        <v>188</v>
      </c>
      <c r="C170" s="426"/>
      <c r="D170" s="134"/>
      <c r="E170" s="159" t="s">
        <v>189</v>
      </c>
      <c r="F170" s="134"/>
      <c r="G170" s="141"/>
      <c r="H170" s="139" t="s">
        <v>43</v>
      </c>
      <c r="I170" s="139" t="s">
        <v>18</v>
      </c>
      <c r="J170" s="160" t="s">
        <v>783</v>
      </c>
      <c r="M170" s="126"/>
      <c r="N170" s="126"/>
      <c r="O170" s="126"/>
      <c r="P170" s="126"/>
    </row>
    <row r="171" spans="2:16" s="121" customFormat="1" ht="3" customHeight="1" x14ac:dyDescent="0.2">
      <c r="B171" s="135"/>
      <c r="C171" s="135"/>
      <c r="D171" s="134"/>
      <c r="E171" s="159"/>
      <c r="F171" s="134"/>
      <c r="G171" s="139"/>
      <c r="H171" s="139"/>
      <c r="I171" s="139"/>
      <c r="J171" s="160"/>
      <c r="M171" s="126"/>
      <c r="N171" s="126"/>
      <c r="O171" s="126"/>
      <c r="P171" s="126"/>
    </row>
    <row r="172" spans="2:16" s="121" customFormat="1" x14ac:dyDescent="0.2">
      <c r="B172" s="431" t="s">
        <v>191</v>
      </c>
      <c r="C172" s="431"/>
      <c r="D172" s="134"/>
      <c r="E172" s="159" t="s">
        <v>193</v>
      </c>
      <c r="F172" s="134"/>
      <c r="G172" s="139">
        <v>0.1</v>
      </c>
      <c r="H172" s="139" t="s">
        <v>5</v>
      </c>
      <c r="I172" s="148" t="str">
        <f>IF(Fdrift=0.1, "D", "S")</f>
        <v>D</v>
      </c>
      <c r="J172" s="160"/>
      <c r="M172" s="126"/>
      <c r="N172" s="126"/>
      <c r="O172" s="126"/>
      <c r="P172" s="126"/>
    </row>
    <row r="173" spans="2:16" s="121" customFormat="1" ht="3" customHeight="1" x14ac:dyDescent="0.2">
      <c r="B173" s="135"/>
      <c r="C173" s="135"/>
      <c r="D173" s="134"/>
      <c r="E173" s="159"/>
      <c r="F173" s="134"/>
      <c r="G173" s="139"/>
      <c r="H173" s="139"/>
      <c r="I173" s="139"/>
      <c r="J173" s="160"/>
      <c r="M173" s="126"/>
      <c r="N173" s="126"/>
      <c r="O173" s="126"/>
      <c r="P173" s="126"/>
    </row>
    <row r="174" spans="2:16" s="121" customFormat="1" x14ac:dyDescent="0.2">
      <c r="B174" s="431" t="s">
        <v>192</v>
      </c>
      <c r="C174" s="431"/>
      <c r="D174" s="134"/>
      <c r="E174" s="159" t="s">
        <v>194</v>
      </c>
      <c r="F174" s="134"/>
      <c r="G174" s="139">
        <v>0.2</v>
      </c>
      <c r="H174" s="139" t="s">
        <v>5</v>
      </c>
      <c r="I174" s="148" t="str">
        <f>IF(Frunoff=0.2, "D", "S")</f>
        <v>D</v>
      </c>
      <c r="J174" s="160"/>
      <c r="M174" s="126"/>
      <c r="N174" s="126"/>
      <c r="O174" s="126"/>
      <c r="P174" s="126"/>
    </row>
    <row r="175" spans="2:16" s="121" customFormat="1" ht="3" customHeight="1" x14ac:dyDescent="0.2">
      <c r="B175" s="134"/>
      <c r="C175" s="134"/>
      <c r="D175" s="134"/>
      <c r="E175" s="159"/>
      <c r="F175" s="134"/>
      <c r="G175" s="139"/>
      <c r="H175" s="139"/>
      <c r="I175" s="139"/>
      <c r="J175" s="135"/>
      <c r="M175" s="126"/>
      <c r="N175" s="126"/>
      <c r="O175" s="126"/>
      <c r="P175" s="126"/>
    </row>
    <row r="176" spans="2:16" s="121" customFormat="1" ht="27.75" customHeight="1" x14ac:dyDescent="0.2">
      <c r="B176" s="431" t="s">
        <v>195</v>
      </c>
      <c r="C176" s="431"/>
      <c r="D176" s="134"/>
      <c r="E176" s="159" t="s">
        <v>201</v>
      </c>
      <c r="F176" s="134"/>
      <c r="G176" s="139">
        <v>0.33</v>
      </c>
      <c r="H176" s="139" t="s">
        <v>5</v>
      </c>
      <c r="I176" s="148" t="str">
        <f>IF(Fdep=0.33, "D", "S")</f>
        <v>D</v>
      </c>
      <c r="J176" s="135"/>
      <c r="M176" s="126"/>
      <c r="N176" s="126"/>
      <c r="O176" s="126"/>
      <c r="P176" s="126"/>
    </row>
    <row r="177" spans="2:16" s="121" customFormat="1" ht="3" customHeight="1" x14ac:dyDescent="0.2">
      <c r="B177" s="134"/>
      <c r="C177" s="134"/>
      <c r="D177" s="134"/>
      <c r="E177" s="159"/>
      <c r="F177" s="134"/>
      <c r="G177" s="139"/>
      <c r="H177" s="139"/>
      <c r="I177" s="139"/>
      <c r="J177" s="135"/>
      <c r="M177" s="126"/>
      <c r="N177" s="126"/>
      <c r="O177" s="126"/>
      <c r="P177" s="126"/>
    </row>
    <row r="178" spans="2:16" s="121" customFormat="1" ht="15" x14ac:dyDescent="0.2">
      <c r="B178" s="431" t="s">
        <v>196</v>
      </c>
      <c r="C178" s="431"/>
      <c r="D178" s="134"/>
      <c r="E178" s="159" t="s">
        <v>202</v>
      </c>
      <c r="F178" s="134"/>
      <c r="G178" s="139">
        <v>13</v>
      </c>
      <c r="H178" s="139" t="s">
        <v>21</v>
      </c>
      <c r="I178" s="148" t="str">
        <f>IF(Vsoil_runoff=13, "D", "S")</f>
        <v>D</v>
      </c>
      <c r="J178" s="135"/>
      <c r="M178" s="126"/>
      <c r="N178" s="126"/>
      <c r="O178" s="126"/>
      <c r="P178" s="126"/>
    </row>
    <row r="179" spans="2:16" s="121" customFormat="1" ht="3" customHeight="1" x14ac:dyDescent="0.2">
      <c r="B179" s="134"/>
      <c r="C179" s="134"/>
      <c r="D179" s="134"/>
      <c r="E179" s="159"/>
      <c r="F179" s="134"/>
      <c r="G179" s="139"/>
      <c r="H179" s="139"/>
      <c r="I179" s="148"/>
      <c r="J179" s="135"/>
      <c r="M179" s="126"/>
      <c r="N179" s="126"/>
      <c r="O179" s="126"/>
      <c r="P179" s="126"/>
    </row>
    <row r="180" spans="2:16" s="121" customFormat="1" ht="15" x14ac:dyDescent="0.2">
      <c r="B180" s="431" t="s">
        <v>197</v>
      </c>
      <c r="C180" s="431"/>
      <c r="D180" s="134"/>
      <c r="E180" s="159" t="s">
        <v>203</v>
      </c>
      <c r="F180" s="134"/>
      <c r="G180" s="139">
        <v>13</v>
      </c>
      <c r="H180" s="139" t="s">
        <v>21</v>
      </c>
      <c r="I180" s="148" t="str">
        <f>IF(Vsoil_drift_t1=13, "D", "S")</f>
        <v>D</v>
      </c>
      <c r="J180" s="135"/>
      <c r="M180" s="126"/>
      <c r="N180" s="126"/>
      <c r="O180" s="126"/>
      <c r="P180" s="126"/>
    </row>
    <row r="181" spans="2:16" s="121" customFormat="1" ht="3" customHeight="1" x14ac:dyDescent="0.2">
      <c r="B181" s="134"/>
      <c r="C181" s="134"/>
      <c r="D181" s="134"/>
      <c r="E181" s="159"/>
      <c r="F181" s="134"/>
      <c r="G181" s="139"/>
      <c r="H181" s="139"/>
      <c r="I181" s="148"/>
      <c r="J181" s="135"/>
      <c r="M181" s="126"/>
      <c r="N181" s="126"/>
      <c r="O181" s="126"/>
      <c r="P181" s="126"/>
    </row>
    <row r="182" spans="2:16" s="121" customFormat="1" ht="15" x14ac:dyDescent="0.2">
      <c r="B182" s="431" t="s">
        <v>198</v>
      </c>
      <c r="C182" s="431"/>
      <c r="D182" s="134"/>
      <c r="E182" s="159" t="s">
        <v>204</v>
      </c>
      <c r="F182" s="134"/>
      <c r="G182" s="139">
        <v>15</v>
      </c>
      <c r="H182" s="139" t="s">
        <v>21</v>
      </c>
      <c r="I182" s="148" t="str">
        <f>IF(Vsoil_drift_t2=15, "D", "S")</f>
        <v>D</v>
      </c>
      <c r="J182" s="135"/>
      <c r="M182" s="126"/>
      <c r="N182" s="126"/>
      <c r="O182" s="126"/>
      <c r="P182" s="126"/>
    </row>
    <row r="183" spans="2:16" s="121" customFormat="1" ht="3" customHeight="1" x14ac:dyDescent="0.2">
      <c r="B183" s="134"/>
      <c r="C183" s="134"/>
      <c r="D183" s="134"/>
      <c r="E183" s="159"/>
      <c r="F183" s="134"/>
      <c r="G183" s="139"/>
      <c r="H183" s="139"/>
      <c r="I183" s="139"/>
      <c r="J183" s="135"/>
      <c r="M183" s="126"/>
      <c r="N183" s="126"/>
      <c r="O183" s="126"/>
      <c r="P183" s="126"/>
    </row>
    <row r="184" spans="2:16" s="121" customFormat="1" ht="15" x14ac:dyDescent="0.2">
      <c r="B184" s="134" t="s">
        <v>199</v>
      </c>
      <c r="C184" s="134"/>
      <c r="D184" s="134"/>
      <c r="E184" s="159" t="s">
        <v>200</v>
      </c>
      <c r="F184" s="134"/>
      <c r="G184" s="139">
        <v>1700</v>
      </c>
      <c r="H184" s="139" t="s">
        <v>205</v>
      </c>
      <c r="I184" s="148" t="str">
        <f>IF(RHOsoil_sprayer=1700, "D", "S")</f>
        <v>D</v>
      </c>
      <c r="J184" s="135"/>
      <c r="M184" s="126"/>
      <c r="N184" s="126"/>
      <c r="O184" s="126"/>
      <c r="P184" s="126"/>
    </row>
    <row r="185" spans="2:16" s="121" customFormat="1" x14ac:dyDescent="0.2">
      <c r="B185" s="134"/>
      <c r="C185" s="134"/>
      <c r="D185" s="134"/>
      <c r="E185" s="134"/>
      <c r="F185" s="134"/>
      <c r="G185" s="134"/>
      <c r="H185" s="134"/>
      <c r="I185" s="134"/>
      <c r="J185" s="135"/>
      <c r="M185" s="126"/>
      <c r="N185" s="126"/>
      <c r="O185" s="126"/>
      <c r="P185" s="126"/>
    </row>
    <row r="186" spans="2:16" s="121" customFormat="1" ht="15" x14ac:dyDescent="0.2">
      <c r="B186" s="131" t="s">
        <v>1</v>
      </c>
      <c r="C186" s="132"/>
      <c r="D186" s="132"/>
      <c r="E186" s="132"/>
      <c r="F186" s="132"/>
      <c r="G186" s="132"/>
      <c r="H186" s="132"/>
      <c r="I186" s="132"/>
      <c r="J186" s="133"/>
      <c r="K186" s="66"/>
      <c r="M186" s="126"/>
      <c r="N186" s="126"/>
      <c r="O186" s="126"/>
      <c r="P186" s="126"/>
    </row>
    <row r="187" spans="2:16" s="121" customFormat="1" ht="3" customHeight="1" x14ac:dyDescent="0.2">
      <c r="B187" s="134"/>
      <c r="C187" s="134"/>
      <c r="D187" s="134"/>
      <c r="E187" s="134"/>
      <c r="F187" s="134"/>
      <c r="G187" s="134"/>
      <c r="H187" s="134"/>
      <c r="I187" s="134"/>
      <c r="J187" s="135"/>
      <c r="M187" s="126"/>
      <c r="N187" s="126"/>
      <c r="O187" s="126"/>
      <c r="P187" s="126"/>
    </row>
    <row r="188" spans="2:16" s="121" customFormat="1" ht="15" x14ac:dyDescent="0.2">
      <c r="B188" s="136" t="s">
        <v>2</v>
      </c>
      <c r="C188" s="136"/>
      <c r="D188" s="136"/>
      <c r="E188" s="137" t="s">
        <v>4</v>
      </c>
      <c r="F188" s="138"/>
      <c r="G188" s="138" t="s">
        <v>6</v>
      </c>
      <c r="H188" s="138" t="s">
        <v>3</v>
      </c>
      <c r="I188" s="138" t="s">
        <v>9</v>
      </c>
      <c r="J188" s="137" t="s">
        <v>15</v>
      </c>
      <c r="M188" s="126"/>
      <c r="N188" s="126"/>
      <c r="O188" s="126"/>
      <c r="P188" s="126"/>
    </row>
    <row r="189" spans="2:16" s="121" customFormat="1" ht="3" customHeight="1" x14ac:dyDescent="0.2">
      <c r="B189" s="136"/>
      <c r="C189" s="136"/>
      <c r="D189" s="136"/>
      <c r="E189" s="137"/>
      <c r="F189" s="138"/>
      <c r="G189" s="138"/>
      <c r="H189" s="138"/>
      <c r="I189" s="138"/>
      <c r="J189" s="137"/>
      <c r="M189" s="126"/>
      <c r="N189" s="126"/>
      <c r="O189" s="126"/>
      <c r="P189" s="126"/>
    </row>
    <row r="190" spans="2:16" s="121" customFormat="1" ht="26.25" customHeight="1" x14ac:dyDescent="0.2">
      <c r="B190" s="460" t="s">
        <v>206</v>
      </c>
      <c r="C190" s="460"/>
      <c r="D190" s="59"/>
      <c r="E190" s="32" t="s">
        <v>207</v>
      </c>
      <c r="F190" s="59"/>
      <c r="G190" s="175" t="str">
        <f>IF(AND(ISNUMBER(Qapplic_sprayer),ISNUMBER(Fai_sprayer),ISNUMBER(RHOprod_sprayer)),Area_facade_sprayer*Qapplic_sprayer*Fai_sprayer*RHOprod_sprayer*Fdrift*0.001,"??")</f>
        <v>??</v>
      </c>
      <c r="H190" s="158" t="s">
        <v>694</v>
      </c>
      <c r="I190" s="158" t="s">
        <v>7</v>
      </c>
      <c r="J190" s="32" t="s">
        <v>210</v>
      </c>
      <c r="M190" s="126"/>
      <c r="N190" s="126"/>
      <c r="O190" s="126"/>
      <c r="P190" s="126"/>
    </row>
    <row r="191" spans="2:16" s="121" customFormat="1" ht="3" customHeight="1" x14ac:dyDescent="0.2">
      <c r="B191" s="59"/>
      <c r="C191" s="59"/>
      <c r="D191" s="59"/>
      <c r="E191" s="53"/>
      <c r="F191" s="158"/>
      <c r="G191" s="158"/>
      <c r="H191" s="158"/>
      <c r="I191" s="158"/>
      <c r="J191" s="53"/>
      <c r="M191" s="126"/>
      <c r="N191" s="126"/>
      <c r="O191" s="126"/>
      <c r="P191" s="126"/>
    </row>
    <row r="192" spans="2:16" s="121" customFormat="1" ht="27" customHeight="1" x14ac:dyDescent="0.2">
      <c r="B192" s="460" t="s">
        <v>209</v>
      </c>
      <c r="C192" s="460"/>
      <c r="D192" s="59"/>
      <c r="E192" s="32" t="s">
        <v>208</v>
      </c>
      <c r="F192" s="158"/>
      <c r="G192" s="175" t="str">
        <f>IF(AND(ISNUMBER(Qapplic_sprayer),ISNUMBER(Fai_sprayer),ISNUMBER(RHOprod_sprayer)),Area_facade_sprayer*Qapplic_sprayer*Fai_sprayer*RHOprod_sprayer*Fdrift*0.001*Fdep,"??")</f>
        <v>??</v>
      </c>
      <c r="H192" s="158" t="s">
        <v>694</v>
      </c>
      <c r="I192" s="158" t="s">
        <v>7</v>
      </c>
      <c r="J192" s="32" t="s">
        <v>211</v>
      </c>
      <c r="M192" s="126"/>
      <c r="N192" s="126"/>
      <c r="O192" s="126"/>
      <c r="P192" s="126"/>
    </row>
    <row r="193" spans="2:16" s="121" customFormat="1" ht="3" customHeight="1" x14ac:dyDescent="0.2">
      <c r="B193" s="59"/>
      <c r="C193" s="59"/>
      <c r="D193" s="59"/>
      <c r="E193" s="53"/>
      <c r="F193" s="158"/>
      <c r="G193" s="158"/>
      <c r="H193" s="158"/>
      <c r="I193" s="158"/>
      <c r="J193" s="53"/>
      <c r="M193" s="126"/>
      <c r="N193" s="126"/>
      <c r="O193" s="126"/>
      <c r="P193" s="126"/>
    </row>
    <row r="194" spans="2:16" s="121" customFormat="1" ht="24" customHeight="1" x14ac:dyDescent="0.2">
      <c r="B194" s="460" t="s">
        <v>212</v>
      </c>
      <c r="C194" s="460"/>
      <c r="D194" s="59"/>
      <c r="E194" s="53" t="s">
        <v>213</v>
      </c>
      <c r="F194" s="158"/>
      <c r="G194" s="175" t="str">
        <f>IF(AND(ISNUMBER(Qapplic_sprayer),ISNUMBER(Fai_sprayer),ISNUMBER(RHOprod_sprayer)),Area_facade_sprayer*Qapplic_sprayer*Fai_sprayer*RHOprod_sprayer*Frunoff*0.001,"??")</f>
        <v>??</v>
      </c>
      <c r="H194" s="158" t="s">
        <v>694</v>
      </c>
      <c r="I194" s="158" t="s">
        <v>7</v>
      </c>
      <c r="J194" s="32" t="s">
        <v>704</v>
      </c>
      <c r="M194" s="126"/>
      <c r="N194" s="126"/>
      <c r="O194" s="126"/>
      <c r="P194" s="126"/>
    </row>
    <row r="195" spans="2:16" s="121" customFormat="1" x14ac:dyDescent="0.2">
      <c r="B195" s="59"/>
      <c r="C195" s="59"/>
      <c r="D195" s="59"/>
      <c r="E195" s="53"/>
      <c r="F195" s="158"/>
      <c r="G195" s="158"/>
      <c r="H195" s="158"/>
      <c r="I195" s="158"/>
      <c r="J195" s="53"/>
      <c r="M195" s="126"/>
      <c r="N195" s="126"/>
      <c r="O195" s="126"/>
      <c r="P195" s="126"/>
    </row>
    <row r="196" spans="2:16" s="121" customFormat="1" x14ac:dyDescent="0.2">
      <c r="B196" s="167" t="s">
        <v>214</v>
      </c>
      <c r="C196" s="59"/>
      <c r="D196" s="59"/>
      <c r="E196" s="53"/>
      <c r="F196" s="158"/>
      <c r="G196" s="158"/>
      <c r="H196" s="158"/>
      <c r="I196" s="158"/>
      <c r="J196" s="53"/>
      <c r="M196" s="126"/>
      <c r="N196" s="126"/>
      <c r="O196" s="126"/>
      <c r="P196" s="126"/>
    </row>
    <row r="197" spans="2:16" s="121" customFormat="1" ht="3" customHeight="1" x14ac:dyDescent="0.2">
      <c r="B197" s="188"/>
      <c r="C197" s="189"/>
      <c r="D197" s="189"/>
      <c r="E197" s="190"/>
      <c r="F197" s="191"/>
      <c r="G197" s="191"/>
      <c r="H197" s="191"/>
      <c r="I197" s="191"/>
      <c r="J197" s="190"/>
      <c r="M197" s="126"/>
      <c r="N197" s="126"/>
      <c r="O197" s="126"/>
      <c r="P197" s="126"/>
    </row>
    <row r="198" spans="2:16" s="121" customFormat="1" ht="27.75" customHeight="1" x14ac:dyDescent="0.2">
      <c r="B198" s="460" t="s">
        <v>576</v>
      </c>
      <c r="C198" s="460"/>
      <c r="D198" s="59"/>
      <c r="E198" s="32" t="s">
        <v>577</v>
      </c>
      <c r="F198" s="158"/>
      <c r="G198" s="175" t="str">
        <f>IF(AND(ISNUMBER(Elocal_spray_drift_facade_t1),ISNUMBER(Elocal_runoff_facade)),nhouses_app_city*(Elocal_spray_drift_facade_t1+Elocal_runoff_facade),"??")</f>
        <v>??</v>
      </c>
      <c r="H198" s="158" t="s">
        <v>78</v>
      </c>
      <c r="I198" s="158" t="s">
        <v>7</v>
      </c>
      <c r="J198" s="32" t="s">
        <v>698</v>
      </c>
      <c r="M198" s="126"/>
      <c r="N198" s="126"/>
      <c r="O198" s="126"/>
      <c r="P198" s="126"/>
    </row>
    <row r="199" spans="2:16" s="121" customFormat="1" ht="3" customHeight="1" x14ac:dyDescent="0.2">
      <c r="B199" s="32"/>
      <c r="C199" s="32"/>
      <c r="D199" s="59"/>
      <c r="E199" s="32"/>
      <c r="F199" s="158"/>
      <c r="G199" s="158"/>
      <c r="H199" s="158"/>
      <c r="I199" s="158"/>
      <c r="J199" s="32"/>
      <c r="M199" s="126"/>
      <c r="N199" s="126"/>
      <c r="O199" s="126"/>
      <c r="P199" s="126"/>
    </row>
    <row r="200" spans="2:16" s="121" customFormat="1" x14ac:dyDescent="0.2">
      <c r="B200" s="59"/>
      <c r="C200" s="59"/>
      <c r="D200" s="59"/>
      <c r="E200" s="53"/>
      <c r="F200" s="158"/>
      <c r="G200" s="158"/>
      <c r="H200" s="158"/>
      <c r="I200" s="158"/>
      <c r="J200" s="53"/>
      <c r="M200" s="126"/>
      <c r="N200" s="126"/>
      <c r="O200" s="126"/>
      <c r="P200" s="126"/>
    </row>
    <row r="201" spans="2:16" s="121" customFormat="1" x14ac:dyDescent="0.2">
      <c r="B201" s="167" t="s">
        <v>215</v>
      </c>
      <c r="C201" s="59"/>
      <c r="D201" s="59"/>
      <c r="E201" s="53"/>
      <c r="F201" s="158"/>
      <c r="G201" s="158"/>
      <c r="H201" s="158"/>
      <c r="I201" s="158"/>
      <c r="J201" s="53"/>
      <c r="M201" s="126"/>
      <c r="N201" s="126"/>
      <c r="O201" s="126"/>
      <c r="P201" s="126"/>
    </row>
    <row r="202" spans="2:16" s="121" customFormat="1" ht="3" customHeight="1" x14ac:dyDescent="0.2">
      <c r="B202" s="188"/>
      <c r="C202" s="189"/>
      <c r="D202" s="189"/>
      <c r="E202" s="190"/>
      <c r="F202" s="191"/>
      <c r="G202" s="191"/>
      <c r="H202" s="191"/>
      <c r="I202" s="191"/>
      <c r="J202" s="190"/>
      <c r="M202" s="126"/>
      <c r="N202" s="126"/>
      <c r="O202" s="126"/>
      <c r="P202" s="126"/>
    </row>
    <row r="203" spans="2:16" s="348" customFormat="1" ht="30.75" customHeight="1" x14ac:dyDescent="0.2">
      <c r="B203" s="473" t="s">
        <v>699</v>
      </c>
      <c r="C203" s="473"/>
      <c r="D203" s="59"/>
      <c r="E203" s="405" t="s">
        <v>777</v>
      </c>
      <c r="F203" s="59"/>
      <c r="G203" s="175" t="str">
        <f>IF(ISNUMBER(Elocal_runoff_facade),Elocal_runoff_facade*nhouses_app_countryside,"??")</f>
        <v>??</v>
      </c>
      <c r="H203" s="158" t="s">
        <v>78</v>
      </c>
      <c r="I203" s="158" t="s">
        <v>7</v>
      </c>
      <c r="J203" s="406" t="s">
        <v>778</v>
      </c>
      <c r="K203" s="370"/>
      <c r="M203" s="126"/>
      <c r="N203" s="126"/>
      <c r="O203" s="126"/>
      <c r="P203" s="126"/>
    </row>
    <row r="204" spans="2:16" s="348" customFormat="1" ht="3" customHeight="1" x14ac:dyDescent="0.2">
      <c r="B204" s="381"/>
      <c r="C204" s="395"/>
      <c r="D204" s="59"/>
      <c r="E204" s="395"/>
      <c r="F204" s="59"/>
      <c r="G204" s="59"/>
      <c r="H204" s="158"/>
      <c r="I204" s="158"/>
      <c r="J204" s="395"/>
      <c r="K204" s="370"/>
      <c r="M204" s="126"/>
      <c r="N204" s="126"/>
      <c r="O204" s="126"/>
      <c r="P204" s="126"/>
    </row>
    <row r="205" spans="2:16" s="348" customFormat="1" ht="36.75" customHeight="1" x14ac:dyDescent="0.2">
      <c r="B205" s="473" t="s">
        <v>700</v>
      </c>
      <c r="C205" s="473"/>
      <c r="D205" s="59"/>
      <c r="E205" s="405" t="s">
        <v>779</v>
      </c>
      <c r="F205" s="59"/>
      <c r="G205" s="175" t="str">
        <f>IF(ISNUMBER(Elocal_spray_drift_facade_t1),Elocal_spray_drift_facade_t1*nhouses_app_countryside,"??")</f>
        <v>??</v>
      </c>
      <c r="H205" s="158" t="s">
        <v>78</v>
      </c>
      <c r="I205" s="158" t="s">
        <v>7</v>
      </c>
      <c r="J205" s="381" t="s">
        <v>780</v>
      </c>
      <c r="M205" s="126"/>
      <c r="N205" s="126"/>
      <c r="O205" s="126"/>
      <c r="P205" s="126"/>
    </row>
    <row r="206" spans="2:16" s="348" customFormat="1" ht="3" customHeight="1" x14ac:dyDescent="0.2">
      <c r="B206" s="381"/>
      <c r="C206" s="395"/>
      <c r="D206" s="59"/>
      <c r="E206" s="395"/>
      <c r="F206" s="59"/>
      <c r="G206" s="59"/>
      <c r="H206" s="158"/>
      <c r="I206" s="158"/>
      <c r="J206" s="395"/>
      <c r="M206" s="126"/>
      <c r="N206" s="126"/>
      <c r="O206" s="126"/>
      <c r="P206" s="126"/>
    </row>
    <row r="207" spans="2:16" s="348" customFormat="1" ht="68.25" customHeight="1" x14ac:dyDescent="0.2">
      <c r="B207" s="471" t="s">
        <v>701</v>
      </c>
      <c r="C207" s="471"/>
      <c r="D207" s="59"/>
      <c r="E207" s="395"/>
      <c r="F207" s="59"/>
      <c r="G207" s="175" t="str">
        <f>IF(AND(ISNUMBER(G203),ISNUMBER(G205)),G203+G205,"??")</f>
        <v>??</v>
      </c>
      <c r="H207" s="158" t="s">
        <v>78</v>
      </c>
      <c r="I207" s="158" t="s">
        <v>7</v>
      </c>
      <c r="J207" s="381" t="s">
        <v>703</v>
      </c>
      <c r="M207" s="126"/>
      <c r="N207" s="126"/>
      <c r="O207" s="126"/>
      <c r="P207" s="126"/>
    </row>
    <row r="208" spans="2:16" s="348" customFormat="1" ht="3" customHeight="1" x14ac:dyDescent="0.2">
      <c r="B208" s="381"/>
      <c r="C208" s="395"/>
      <c r="D208" s="59"/>
      <c r="E208" s="395"/>
      <c r="F208" s="59"/>
      <c r="G208" s="59"/>
      <c r="H208" s="158"/>
      <c r="I208" s="158"/>
      <c r="J208" s="395"/>
      <c r="M208" s="126"/>
      <c r="N208" s="126"/>
      <c r="O208" s="126"/>
      <c r="P208" s="126"/>
    </row>
    <row r="209" spans="2:16" s="121" customFormat="1" ht="35.25" customHeight="1" x14ac:dyDescent="0.2">
      <c r="B209" s="471" t="s">
        <v>702</v>
      </c>
      <c r="C209" s="471"/>
      <c r="D209" s="59"/>
      <c r="E209" s="405" t="s">
        <v>781</v>
      </c>
      <c r="F209" s="59"/>
      <c r="G209" s="175" t="str">
        <f>IF(ISNUMBER(Elocal_spray_drift_facade_t2),Elocal_spray_drift_facade_t2*nhouses_app_countryside,"??")</f>
        <v>??</v>
      </c>
      <c r="H209" s="158" t="s">
        <v>78</v>
      </c>
      <c r="I209" s="158" t="s">
        <v>7</v>
      </c>
      <c r="J209" s="381" t="s">
        <v>782</v>
      </c>
      <c r="M209" s="126"/>
      <c r="N209" s="126"/>
      <c r="O209" s="126"/>
      <c r="P209" s="126"/>
    </row>
    <row r="210" spans="2:16" s="348" customFormat="1" ht="3" customHeight="1" x14ac:dyDescent="0.2">
      <c r="B210" s="396"/>
      <c r="C210" s="396"/>
      <c r="D210" s="59"/>
      <c r="E210" s="382"/>
      <c r="F210" s="59"/>
      <c r="G210" s="371"/>
      <c r="H210" s="371"/>
      <c r="I210" s="371"/>
      <c r="J210" s="383"/>
      <c r="M210" s="126"/>
      <c r="N210" s="126"/>
      <c r="O210" s="126"/>
      <c r="P210" s="126"/>
    </row>
    <row r="211" spans="2:16" s="121" customFormat="1" ht="39" customHeight="1" x14ac:dyDescent="0.2">
      <c r="B211" s="460" t="s">
        <v>216</v>
      </c>
      <c r="C211" s="460"/>
      <c r="D211" s="59"/>
      <c r="E211" s="32" t="s">
        <v>220</v>
      </c>
      <c r="F211" s="158"/>
      <c r="G211" s="175" t="str">
        <f>IF(ISNUMBER(Elocal_spray_drift_facade_t1),Elocal_spray_drift_facade_t1/(Vsoil_drift_t1*RHOsoil_sprayer),"??")</f>
        <v>??</v>
      </c>
      <c r="H211" s="158" t="s">
        <v>219</v>
      </c>
      <c r="I211" s="158" t="s">
        <v>7</v>
      </c>
      <c r="J211" s="32" t="s">
        <v>578</v>
      </c>
      <c r="M211" s="126"/>
      <c r="N211" s="126"/>
      <c r="O211" s="126"/>
      <c r="P211" s="126"/>
    </row>
    <row r="212" spans="2:16" s="121" customFormat="1" ht="3" customHeight="1" x14ac:dyDescent="0.2">
      <c r="B212" s="59"/>
      <c r="C212" s="59"/>
      <c r="D212" s="59"/>
      <c r="E212" s="53"/>
      <c r="F212" s="158"/>
      <c r="G212" s="158"/>
      <c r="H212" s="158"/>
      <c r="I212" s="158"/>
      <c r="J212" s="53"/>
      <c r="M212" s="126"/>
      <c r="N212" s="126"/>
      <c r="O212" s="126"/>
      <c r="P212" s="126"/>
    </row>
    <row r="213" spans="2:16" s="121" customFormat="1" ht="39" customHeight="1" x14ac:dyDescent="0.2">
      <c r="B213" s="460" t="s">
        <v>217</v>
      </c>
      <c r="C213" s="460"/>
      <c r="D213" s="59"/>
      <c r="E213" s="32" t="s">
        <v>221</v>
      </c>
      <c r="F213" s="158"/>
      <c r="G213" s="175" t="str">
        <f>IF(ISNUMBER(Elocal_spray_drift_facade_t2),Elocal_spray_drift_facade_t2/(Vsoil_drift_t2*RHOsoil_sprayer),"??")</f>
        <v>??</v>
      </c>
      <c r="H213" s="158" t="s">
        <v>219</v>
      </c>
      <c r="I213" s="158" t="s">
        <v>7</v>
      </c>
      <c r="J213" s="32" t="s">
        <v>579</v>
      </c>
      <c r="M213" s="126"/>
      <c r="N213" s="126"/>
      <c r="O213" s="126"/>
      <c r="P213" s="126"/>
    </row>
    <row r="214" spans="2:16" s="121" customFormat="1" ht="3" customHeight="1" x14ac:dyDescent="0.2">
      <c r="B214" s="59"/>
      <c r="C214" s="59"/>
      <c r="D214" s="59"/>
      <c r="E214" s="53"/>
      <c r="F214" s="158"/>
      <c r="G214" s="158"/>
      <c r="H214" s="158"/>
      <c r="I214" s="158"/>
      <c r="J214" s="53"/>
      <c r="M214" s="126"/>
      <c r="N214" s="126"/>
      <c r="O214" s="126"/>
      <c r="P214" s="126"/>
    </row>
    <row r="215" spans="2:16" s="121" customFormat="1" ht="39" customHeight="1" x14ac:dyDescent="0.2">
      <c r="B215" s="460" t="s">
        <v>218</v>
      </c>
      <c r="C215" s="460"/>
      <c r="D215" s="59"/>
      <c r="E215" s="32" t="s">
        <v>222</v>
      </c>
      <c r="F215" s="158"/>
      <c r="G215" s="175" t="str">
        <f>IF(ISNUMBER(Elocal_runoff_facade),Elocal_runoff_facade/(Vsoil_runoff*RHOsoil_sprayer),"??")</f>
        <v>??</v>
      </c>
      <c r="H215" s="158" t="s">
        <v>219</v>
      </c>
      <c r="I215" s="158" t="s">
        <v>7</v>
      </c>
      <c r="J215" s="32" t="s">
        <v>227</v>
      </c>
      <c r="M215" s="126"/>
      <c r="N215" s="126"/>
      <c r="O215" s="126"/>
      <c r="P215" s="126"/>
    </row>
    <row r="216" spans="2:16" s="121" customFormat="1" ht="3" customHeight="1" x14ac:dyDescent="0.2">
      <c r="B216" s="59"/>
      <c r="C216" s="59"/>
      <c r="D216" s="59"/>
      <c r="E216" s="53"/>
      <c r="F216" s="158"/>
      <c r="G216" s="158"/>
      <c r="H216" s="158"/>
      <c r="I216" s="158"/>
      <c r="J216" s="53"/>
      <c r="M216" s="126"/>
      <c r="N216" s="126"/>
      <c r="O216" s="126"/>
      <c r="P216" s="126"/>
    </row>
    <row r="217" spans="2:16" s="121" customFormat="1" ht="27.75" customHeight="1" x14ac:dyDescent="0.2">
      <c r="B217" s="460" t="s">
        <v>224</v>
      </c>
      <c r="C217" s="460"/>
      <c r="D217" s="59"/>
      <c r="E217" s="32" t="s">
        <v>223</v>
      </c>
      <c r="F217" s="59"/>
      <c r="G217" s="175" t="str">
        <f>IF(AND(ISNUMBER(Clocal_soil_spraydrift_t1),ISNUMBER(Clocal_soil_runoff)),Clocal_soil_spraydrift_t1+Clocal_soil_runoff,"??")</f>
        <v>??</v>
      </c>
      <c r="H217" s="158" t="s">
        <v>219</v>
      </c>
      <c r="I217" s="158" t="s">
        <v>7</v>
      </c>
      <c r="J217" s="32" t="s">
        <v>228</v>
      </c>
      <c r="M217" s="126"/>
      <c r="N217" s="126"/>
      <c r="O217" s="126"/>
      <c r="P217" s="126"/>
    </row>
    <row r="218" spans="2:16" s="121" customFormat="1" ht="3" customHeight="1" x14ac:dyDescent="0.2">
      <c r="B218" s="59"/>
      <c r="C218" s="59"/>
      <c r="D218" s="59"/>
      <c r="E218" s="53"/>
      <c r="F218" s="158"/>
      <c r="G218" s="158"/>
      <c r="H218" s="158"/>
      <c r="I218" s="158"/>
      <c r="J218" s="53"/>
      <c r="M218" s="126"/>
      <c r="N218" s="126"/>
      <c r="O218" s="126"/>
      <c r="P218" s="126"/>
    </row>
    <row r="219" spans="2:16" s="121" customFormat="1" ht="27.75" customHeight="1" x14ac:dyDescent="0.2">
      <c r="B219" s="460" t="s">
        <v>225</v>
      </c>
      <c r="C219" s="460"/>
      <c r="D219" s="59"/>
      <c r="E219" s="32" t="s">
        <v>226</v>
      </c>
      <c r="F219" s="59"/>
      <c r="G219" s="175" t="str">
        <f>Clocal_soil_spraydrift_t2</f>
        <v>??</v>
      </c>
      <c r="H219" s="158" t="s">
        <v>219</v>
      </c>
      <c r="I219" s="158" t="s">
        <v>7</v>
      </c>
      <c r="J219" s="32" t="s">
        <v>229</v>
      </c>
      <c r="M219" s="126"/>
      <c r="N219" s="126"/>
      <c r="O219" s="126"/>
      <c r="P219" s="126"/>
    </row>
    <row r="220" spans="2:16" s="348" customFormat="1" x14ac:dyDescent="0.2">
      <c r="B220" s="380"/>
      <c r="C220" s="380"/>
      <c r="D220" s="59"/>
      <c r="E220" s="379"/>
      <c r="F220" s="59"/>
      <c r="G220" s="134"/>
      <c r="H220" s="158"/>
      <c r="I220" s="158"/>
      <c r="J220" s="53"/>
      <c r="M220" s="126"/>
      <c r="N220" s="126"/>
      <c r="O220" s="126"/>
      <c r="P220" s="126"/>
    </row>
    <row r="221" spans="2:16" s="121" customFormat="1" x14ac:dyDescent="0.2">
      <c r="B221" s="143" t="s">
        <v>10</v>
      </c>
      <c r="J221" s="146"/>
    </row>
    <row r="222" spans="2:16" s="121" customFormat="1" x14ac:dyDescent="0.2">
      <c r="B222" s="143"/>
      <c r="J222" s="146"/>
    </row>
    <row r="223" spans="2:16" s="121" customFormat="1" x14ac:dyDescent="0.2">
      <c r="B223" s="256" t="s">
        <v>422</v>
      </c>
      <c r="J223" s="146"/>
    </row>
    <row r="224" spans="2:16" s="121" customFormat="1" x14ac:dyDescent="0.2">
      <c r="B224" s="255"/>
      <c r="J224" s="146"/>
    </row>
    <row r="225" spans="1:101" s="121" customFormat="1" x14ac:dyDescent="0.2">
      <c r="J225" s="146"/>
    </row>
    <row r="226" spans="1:101" s="121" customFormat="1" ht="18" x14ac:dyDescent="0.2">
      <c r="A226" s="119"/>
      <c r="B226" s="448" t="s">
        <v>580</v>
      </c>
      <c r="C226" s="448"/>
      <c r="D226" s="448"/>
      <c r="E226" s="448"/>
      <c r="F226" s="448"/>
      <c r="G226" s="448"/>
      <c r="H226" s="448"/>
      <c r="I226" s="448"/>
      <c r="J226" s="448"/>
      <c r="BG226" s="122"/>
      <c r="BH226" s="122"/>
    </row>
    <row r="227" spans="1:101" s="121" customFormat="1" ht="3" customHeight="1" x14ac:dyDescent="0.2">
      <c r="A227" s="119"/>
      <c r="B227" s="119"/>
      <c r="C227" s="119"/>
      <c r="D227" s="119"/>
      <c r="E227" s="119"/>
      <c r="F227" s="119"/>
      <c r="G227" s="119"/>
      <c r="H227" s="120"/>
      <c r="I227" s="119"/>
      <c r="J227" s="119"/>
      <c r="BG227" s="122"/>
      <c r="BH227" s="122"/>
    </row>
    <row r="228" spans="1:101" s="121" customFormat="1" x14ac:dyDescent="0.2">
      <c r="B228" s="129" t="s">
        <v>8</v>
      </c>
      <c r="C228" s="128"/>
      <c r="D228" s="128"/>
      <c r="E228" s="128"/>
      <c r="F228" s="128"/>
      <c r="G228" s="128"/>
      <c r="H228" s="128"/>
      <c r="I228" s="128"/>
      <c r="J228" s="64"/>
      <c r="BN228" s="122"/>
      <c r="BO228" s="122"/>
      <c r="BP228" s="122"/>
      <c r="BQ228" s="122"/>
      <c r="BR228" s="122"/>
      <c r="BS228" s="122"/>
      <c r="BT228" s="122"/>
      <c r="BU228" s="122"/>
      <c r="BV228" s="122"/>
      <c r="BW228" s="122"/>
      <c r="BX228" s="122"/>
      <c r="BY228" s="122"/>
      <c r="BZ228" s="122"/>
      <c r="CA228" s="122"/>
      <c r="CB228" s="122"/>
      <c r="CC228" s="122"/>
      <c r="CD228" s="122"/>
      <c r="CE228" s="122"/>
      <c r="CF228" s="122"/>
      <c r="CG228" s="122"/>
      <c r="CH228" s="122"/>
      <c r="CI228" s="122"/>
      <c r="CJ228" s="122"/>
      <c r="CK228" s="122"/>
      <c r="CL228" s="122"/>
      <c r="CM228" s="122"/>
      <c r="CN228" s="122"/>
      <c r="CO228" s="122"/>
      <c r="CP228" s="122"/>
      <c r="CQ228" s="122"/>
      <c r="CR228" s="122"/>
      <c r="CS228" s="122"/>
      <c r="CT228" s="122"/>
      <c r="CU228" s="122"/>
      <c r="CV228" s="122"/>
      <c r="CW228" s="122"/>
    </row>
    <row r="229" spans="1:101" s="121" customFormat="1" x14ac:dyDescent="0.2">
      <c r="B229" s="126" t="s">
        <v>249</v>
      </c>
      <c r="C229" s="126"/>
      <c r="D229" s="126"/>
      <c r="E229" s="126"/>
      <c r="F229" s="126"/>
      <c r="G229" s="126"/>
      <c r="H229" s="126"/>
      <c r="I229" s="126"/>
      <c r="J229" s="103"/>
    </row>
    <row r="230" spans="1:101" s="121" customFormat="1" x14ac:dyDescent="0.2">
      <c r="B230" s="126" t="s">
        <v>247</v>
      </c>
      <c r="C230" s="126"/>
      <c r="D230" s="126"/>
      <c r="E230" s="126"/>
      <c r="F230" s="126"/>
      <c r="G230" s="126"/>
      <c r="H230" s="126"/>
      <c r="I230" s="126"/>
      <c r="J230" s="103"/>
    </row>
    <row r="231" spans="1:101" s="121" customFormat="1" x14ac:dyDescent="0.2">
      <c r="B231" s="449" t="s">
        <v>248</v>
      </c>
      <c r="C231" s="449"/>
      <c r="D231" s="449"/>
      <c r="E231" s="449"/>
      <c r="F231" s="449"/>
      <c r="G231" s="449"/>
      <c r="H231" s="449"/>
      <c r="I231" s="449"/>
      <c r="J231" s="449"/>
    </row>
    <row r="232" spans="1:101" s="121" customFormat="1" ht="3" customHeight="1" x14ac:dyDescent="0.2">
      <c r="B232" s="145"/>
      <c r="J232" s="146"/>
    </row>
    <row r="233" spans="1:101" s="121" customFormat="1" ht="15" x14ac:dyDescent="0.2">
      <c r="B233" s="131" t="s">
        <v>0</v>
      </c>
      <c r="C233" s="132"/>
      <c r="D233" s="132"/>
      <c r="E233" s="132"/>
      <c r="F233" s="132"/>
      <c r="G233" s="132"/>
      <c r="H233" s="132"/>
      <c r="I233" s="132"/>
      <c r="J233" s="133"/>
      <c r="K233" s="66"/>
    </row>
    <row r="234" spans="1:101" s="121" customFormat="1" ht="3" customHeight="1" x14ac:dyDescent="0.2">
      <c r="B234" s="134"/>
      <c r="C234" s="134"/>
      <c r="D234" s="134"/>
      <c r="E234" s="134"/>
      <c r="F234" s="134"/>
      <c r="G234" s="134"/>
      <c r="H234" s="134"/>
      <c r="I234" s="134"/>
      <c r="J234" s="135"/>
    </row>
    <row r="235" spans="1:101" s="121" customFormat="1" ht="16.5" customHeight="1" x14ac:dyDescent="0.2">
      <c r="B235" s="136" t="s">
        <v>2</v>
      </c>
      <c r="C235" s="136"/>
      <c r="D235" s="136"/>
      <c r="E235" s="137" t="s">
        <v>4</v>
      </c>
      <c r="F235" s="138"/>
      <c r="G235" s="138" t="s">
        <v>6</v>
      </c>
      <c r="H235" s="138" t="s">
        <v>3</v>
      </c>
      <c r="I235" s="138" t="s">
        <v>9</v>
      </c>
      <c r="J235" s="137" t="s">
        <v>15</v>
      </c>
    </row>
    <row r="236" spans="1:101" s="348" customFormat="1" ht="3" customHeight="1" x14ac:dyDescent="0.2">
      <c r="B236" s="136"/>
      <c r="C236" s="136"/>
      <c r="D236" s="136"/>
      <c r="E236" s="137"/>
      <c r="F236" s="138"/>
      <c r="G236" s="138"/>
      <c r="H236" s="138"/>
      <c r="I236" s="138"/>
      <c r="J236" s="137"/>
    </row>
    <row r="237" spans="1:101" s="348" customFormat="1" ht="15" x14ac:dyDescent="0.2">
      <c r="B237" s="431" t="s">
        <v>691</v>
      </c>
      <c r="C237" s="431"/>
      <c r="D237" s="136"/>
      <c r="E237" s="376" t="s">
        <v>692</v>
      </c>
      <c r="F237" s="138"/>
      <c r="G237" s="139">
        <v>3</v>
      </c>
      <c r="H237" s="139" t="s">
        <v>22</v>
      </c>
      <c r="I237" s="139" t="s">
        <v>17</v>
      </c>
      <c r="J237" s="395" t="s">
        <v>773</v>
      </c>
    </row>
    <row r="238" spans="1:101" s="348" customFormat="1" ht="3" customHeight="1" x14ac:dyDescent="0.2">
      <c r="B238" s="136"/>
      <c r="C238" s="136"/>
      <c r="D238" s="136"/>
      <c r="E238" s="137"/>
      <c r="F238" s="138"/>
      <c r="G238" s="138"/>
      <c r="H238" s="139"/>
      <c r="I238" s="139"/>
      <c r="J238" s="378"/>
    </row>
    <row r="239" spans="1:101" s="348" customFormat="1" ht="25.5" customHeight="1" x14ac:dyDescent="0.2">
      <c r="B239" s="431" t="s">
        <v>690</v>
      </c>
      <c r="C239" s="431"/>
      <c r="D239" s="136"/>
      <c r="E239" s="376" t="s">
        <v>693</v>
      </c>
      <c r="F239" s="138"/>
      <c r="G239" s="139">
        <v>1</v>
      </c>
      <c r="H239" s="139" t="s">
        <v>22</v>
      </c>
      <c r="I239" s="139" t="s">
        <v>17</v>
      </c>
      <c r="J239" s="378"/>
    </row>
    <row r="240" spans="1:101" s="121" customFormat="1" ht="3" customHeight="1" x14ac:dyDescent="0.2">
      <c r="B240" s="134"/>
      <c r="C240" s="134"/>
      <c r="D240" s="134"/>
      <c r="E240" s="134"/>
      <c r="F240" s="134"/>
      <c r="G240" s="134"/>
      <c r="H240" s="134"/>
      <c r="I240" s="134"/>
      <c r="J240" s="135"/>
    </row>
    <row r="241" spans="2:16" s="121" customFormat="1" ht="15" x14ac:dyDescent="0.2">
      <c r="B241" s="426" t="s">
        <v>697</v>
      </c>
      <c r="C241" s="426"/>
      <c r="D241" s="134"/>
      <c r="E241" s="159" t="s">
        <v>183</v>
      </c>
      <c r="F241" s="134"/>
      <c r="G241" s="139">
        <v>125</v>
      </c>
      <c r="H241" s="139" t="s">
        <v>73</v>
      </c>
      <c r="I241" s="148" t="str">
        <f>IF(Area_facade_roller_brush=125, "D", "S")</f>
        <v>D</v>
      </c>
      <c r="J241" s="135"/>
      <c r="N241" s="140"/>
    </row>
    <row r="242" spans="2:16" s="121" customFormat="1" ht="3" customHeight="1" x14ac:dyDescent="0.2">
      <c r="B242" s="134"/>
      <c r="C242" s="134"/>
      <c r="D242" s="134"/>
      <c r="E242" s="159"/>
      <c r="F242" s="134"/>
      <c r="G242" s="139"/>
      <c r="H242" s="139"/>
      <c r="I242" s="139"/>
      <c r="J242" s="135"/>
    </row>
    <row r="243" spans="2:16" s="121" customFormat="1" ht="15" x14ac:dyDescent="0.2">
      <c r="B243" s="426" t="s">
        <v>184</v>
      </c>
      <c r="C243" s="426"/>
      <c r="D243" s="134"/>
      <c r="E243" s="159" t="s">
        <v>185</v>
      </c>
      <c r="F243" s="134"/>
      <c r="G243" s="141"/>
      <c r="H243" s="139" t="s">
        <v>67</v>
      </c>
      <c r="I243" s="148" t="s">
        <v>18</v>
      </c>
      <c r="J243" s="160"/>
    </row>
    <row r="244" spans="2:16" s="121" customFormat="1" ht="3" customHeight="1" x14ac:dyDescent="0.2">
      <c r="B244" s="134"/>
      <c r="C244" s="134"/>
      <c r="D244" s="134"/>
      <c r="E244" s="159"/>
      <c r="F244" s="134"/>
      <c r="G244" s="139"/>
      <c r="H244" s="139"/>
      <c r="I244" s="139"/>
      <c r="J244" s="135"/>
    </row>
    <row r="245" spans="2:16" s="121" customFormat="1" x14ac:dyDescent="0.2">
      <c r="B245" s="431" t="s">
        <v>186</v>
      </c>
      <c r="C245" s="431"/>
      <c r="D245" s="134"/>
      <c r="E245" s="159" t="s">
        <v>187</v>
      </c>
      <c r="F245" s="134"/>
      <c r="G245" s="141"/>
      <c r="H245" s="139" t="s">
        <v>5</v>
      </c>
      <c r="I245" s="148" t="s">
        <v>18</v>
      </c>
      <c r="J245" s="135"/>
      <c r="M245" s="126"/>
      <c r="N245" s="126"/>
      <c r="O245" s="126"/>
      <c r="P245" s="126"/>
    </row>
    <row r="246" spans="2:16" s="121" customFormat="1" ht="3" customHeight="1" x14ac:dyDescent="0.2">
      <c r="B246" s="134"/>
      <c r="C246" s="134"/>
      <c r="D246" s="134"/>
      <c r="E246" s="159"/>
      <c r="F246" s="134"/>
      <c r="G246" s="139"/>
      <c r="H246" s="139"/>
      <c r="I246" s="139"/>
      <c r="J246" s="135"/>
      <c r="M246" s="126"/>
      <c r="N246" s="126"/>
      <c r="O246" s="126"/>
      <c r="P246" s="126"/>
    </row>
    <row r="247" spans="2:16" s="121" customFormat="1" ht="27.75" x14ac:dyDescent="0.2">
      <c r="B247" s="426" t="s">
        <v>188</v>
      </c>
      <c r="C247" s="426"/>
      <c r="D247" s="134"/>
      <c r="E247" s="159" t="s">
        <v>189</v>
      </c>
      <c r="F247" s="134"/>
      <c r="G247" s="141"/>
      <c r="H247" s="139" t="s">
        <v>43</v>
      </c>
      <c r="I247" s="139" t="s">
        <v>18</v>
      </c>
      <c r="J247" s="393" t="s">
        <v>783</v>
      </c>
      <c r="M247" s="126"/>
      <c r="N247" s="126"/>
      <c r="O247" s="126"/>
      <c r="P247" s="126"/>
    </row>
    <row r="248" spans="2:16" s="121" customFormat="1" ht="3" customHeight="1" thickBot="1" x14ac:dyDescent="0.25">
      <c r="B248" s="135"/>
      <c r="C248" s="135"/>
      <c r="D248" s="134"/>
      <c r="E248" s="159"/>
      <c r="F248" s="134"/>
      <c r="G248" s="139"/>
      <c r="H248" s="139"/>
      <c r="I248" s="139"/>
      <c r="J248" s="160"/>
      <c r="M248" s="126"/>
      <c r="N248" s="126"/>
      <c r="O248" s="126"/>
      <c r="P248" s="126"/>
    </row>
    <row r="249" spans="2:16" s="121" customFormat="1" ht="35.25" customHeight="1" thickTop="1" thickBot="1" x14ac:dyDescent="0.25">
      <c r="B249" s="160" t="s">
        <v>230</v>
      </c>
      <c r="C249" s="67" t="s">
        <v>233</v>
      </c>
      <c r="D249" s="134"/>
      <c r="E249" s="159" t="s">
        <v>231</v>
      </c>
      <c r="F249" s="134"/>
      <c r="G249" s="36" t="str">
        <f>INDEX('Pick-lists &amp; Defaults'!C79:C81,MATCH(C249,prof_amateurs,0))</f>
        <v>??</v>
      </c>
      <c r="H249" s="139" t="s">
        <v>5</v>
      </c>
      <c r="I249" s="148" t="s">
        <v>581</v>
      </c>
      <c r="J249" s="160" t="s">
        <v>238</v>
      </c>
      <c r="M249" s="126"/>
      <c r="N249" s="126"/>
      <c r="O249" s="126"/>
      <c r="P249" s="126"/>
    </row>
    <row r="250" spans="2:16" s="121" customFormat="1" ht="3" customHeight="1" thickTop="1" x14ac:dyDescent="0.2">
      <c r="B250" s="135"/>
      <c r="C250" s="135"/>
      <c r="D250" s="134"/>
      <c r="E250" s="159"/>
      <c r="F250" s="134"/>
      <c r="G250" s="139"/>
      <c r="H250" s="139"/>
      <c r="I250" s="139"/>
      <c r="J250" s="160"/>
      <c r="M250" s="126"/>
      <c r="N250" s="126"/>
      <c r="O250" s="126"/>
      <c r="P250" s="126"/>
    </row>
    <row r="251" spans="2:16" s="121" customFormat="1" ht="15" x14ac:dyDescent="0.2">
      <c r="B251" s="431" t="s">
        <v>239</v>
      </c>
      <c r="C251" s="431"/>
      <c r="D251" s="134"/>
      <c r="E251" s="159" t="s">
        <v>240</v>
      </c>
      <c r="F251" s="134"/>
      <c r="G251" s="139">
        <v>13</v>
      </c>
      <c r="H251" s="139" t="s">
        <v>21</v>
      </c>
      <c r="I251" s="148" t="str">
        <f>IF(Vsoil=13, "D", "S")</f>
        <v>D</v>
      </c>
      <c r="J251" s="160"/>
      <c r="M251" s="126"/>
      <c r="N251" s="126"/>
      <c r="O251" s="126"/>
      <c r="P251" s="126"/>
    </row>
    <row r="252" spans="2:16" s="121" customFormat="1" ht="3" customHeight="1" x14ac:dyDescent="0.2">
      <c r="B252" s="134"/>
      <c r="C252" s="134"/>
      <c r="D252" s="134"/>
      <c r="E252" s="159"/>
      <c r="F252" s="134"/>
      <c r="G252" s="139"/>
      <c r="H252" s="139"/>
      <c r="I252" s="139"/>
      <c r="J252" s="135"/>
      <c r="M252" s="126"/>
      <c r="N252" s="126"/>
      <c r="O252" s="126"/>
      <c r="P252" s="126"/>
    </row>
    <row r="253" spans="2:16" s="121" customFormat="1" ht="15" x14ac:dyDescent="0.2">
      <c r="B253" s="134" t="s">
        <v>199</v>
      </c>
      <c r="C253" s="134"/>
      <c r="D253" s="134"/>
      <c r="E253" s="159" t="s">
        <v>200</v>
      </c>
      <c r="F253" s="134"/>
      <c r="G253" s="139">
        <v>1700</v>
      </c>
      <c r="H253" s="139" t="s">
        <v>205</v>
      </c>
      <c r="I253" s="148" t="str">
        <f>IF(RHOsoil_roller_brush=1700, "D", "S")</f>
        <v>D</v>
      </c>
      <c r="J253" s="135"/>
      <c r="M253" s="126"/>
      <c r="N253" s="126"/>
      <c r="O253" s="126"/>
      <c r="P253" s="126"/>
    </row>
    <row r="254" spans="2:16" s="121" customFormat="1" x14ac:dyDescent="0.2">
      <c r="B254" s="134"/>
      <c r="C254" s="134"/>
      <c r="D254" s="134"/>
      <c r="E254" s="134"/>
      <c r="F254" s="134"/>
      <c r="G254" s="134"/>
      <c r="H254" s="134"/>
      <c r="I254" s="134"/>
      <c r="J254" s="135"/>
      <c r="M254" s="126"/>
      <c r="N254" s="126"/>
      <c r="O254" s="126"/>
      <c r="P254" s="126"/>
    </row>
    <row r="255" spans="2:16" s="121" customFormat="1" ht="15" x14ac:dyDescent="0.2">
      <c r="B255" s="131" t="s">
        <v>1</v>
      </c>
      <c r="C255" s="132"/>
      <c r="D255" s="132"/>
      <c r="E255" s="132"/>
      <c r="F255" s="132"/>
      <c r="G255" s="132"/>
      <c r="H255" s="132"/>
      <c r="I255" s="132"/>
      <c r="J255" s="133"/>
      <c r="K255" s="66"/>
      <c r="M255" s="126"/>
      <c r="N255" s="126"/>
      <c r="O255" s="126"/>
      <c r="P255" s="126"/>
    </row>
    <row r="256" spans="2:16" s="121" customFormat="1" ht="3" customHeight="1" x14ac:dyDescent="0.2">
      <c r="B256" s="134"/>
      <c r="C256" s="134"/>
      <c r="D256" s="134"/>
      <c r="E256" s="134"/>
      <c r="F256" s="134"/>
      <c r="G256" s="134"/>
      <c r="H256" s="134"/>
      <c r="I256" s="134"/>
      <c r="J256" s="135"/>
      <c r="M256" s="126"/>
      <c r="N256" s="126"/>
      <c r="O256" s="126"/>
      <c r="P256" s="126"/>
    </row>
    <row r="257" spans="2:16" s="121" customFormat="1" ht="15" x14ac:dyDescent="0.2">
      <c r="B257" s="136" t="s">
        <v>2</v>
      </c>
      <c r="C257" s="136"/>
      <c r="D257" s="136"/>
      <c r="E257" s="137" t="s">
        <v>4</v>
      </c>
      <c r="F257" s="138"/>
      <c r="G257" s="138" t="s">
        <v>6</v>
      </c>
      <c r="H257" s="138" t="s">
        <v>3</v>
      </c>
      <c r="I257" s="138" t="s">
        <v>9</v>
      </c>
      <c r="J257" s="137" t="s">
        <v>15</v>
      </c>
      <c r="M257" s="126"/>
      <c r="N257" s="126"/>
      <c r="O257" s="126"/>
      <c r="P257" s="126"/>
    </row>
    <row r="258" spans="2:16" s="121" customFormat="1" ht="3" customHeight="1" x14ac:dyDescent="0.2">
      <c r="B258" s="136"/>
      <c r="C258" s="136"/>
      <c r="D258" s="136"/>
      <c r="E258" s="137"/>
      <c r="F258" s="138"/>
      <c r="G258" s="138"/>
      <c r="H258" s="138"/>
      <c r="I258" s="138"/>
      <c r="J258" s="137"/>
      <c r="M258" s="126"/>
      <c r="N258" s="126"/>
      <c r="O258" s="126"/>
      <c r="P258" s="126"/>
    </row>
    <row r="259" spans="2:16" s="121" customFormat="1" ht="28.5" customHeight="1" x14ac:dyDescent="0.2">
      <c r="B259" s="460" t="s">
        <v>241</v>
      </c>
      <c r="C259" s="460"/>
      <c r="D259" s="59"/>
      <c r="E259" s="53" t="s">
        <v>242</v>
      </c>
      <c r="F259" s="158"/>
      <c r="G259" s="175" t="str">
        <f>IF(AND(ISNUMBER(Qapplic_roller_brush),ISNUMBER(Fai_roller_brush),ISNUMBER(RHOprod_roller_brush),ISNUMBER(Fdripping)),Area_facade_roller_brush*Qapplic_roller_brush*Fai_roller_brush*RHOprod_roller_brush*G249*0.001,"??")</f>
        <v>??</v>
      </c>
      <c r="H259" s="158" t="s">
        <v>694</v>
      </c>
      <c r="I259" s="158" t="s">
        <v>7</v>
      </c>
      <c r="J259" s="395" t="s">
        <v>774</v>
      </c>
      <c r="M259" s="126"/>
      <c r="N259" s="126"/>
      <c r="O259" s="126"/>
      <c r="P259" s="126"/>
    </row>
    <row r="260" spans="2:16" s="121" customFormat="1" x14ac:dyDescent="0.2">
      <c r="B260" s="59"/>
      <c r="C260" s="59"/>
      <c r="D260" s="59"/>
      <c r="E260" s="53"/>
      <c r="F260" s="158"/>
      <c r="G260" s="158"/>
      <c r="H260" s="158"/>
      <c r="I260" s="158"/>
      <c r="J260" s="53"/>
      <c r="M260" s="126"/>
      <c r="N260" s="126"/>
      <c r="O260" s="126"/>
      <c r="P260" s="126"/>
    </row>
    <row r="261" spans="2:16" s="121" customFormat="1" x14ac:dyDescent="0.2">
      <c r="B261" s="167" t="s">
        <v>214</v>
      </c>
      <c r="C261" s="59"/>
      <c r="D261" s="59"/>
      <c r="E261" s="53"/>
      <c r="F261" s="158"/>
      <c r="G261" s="158"/>
      <c r="H261" s="158"/>
      <c r="I261" s="158"/>
      <c r="J261" s="53"/>
      <c r="M261" s="126"/>
      <c r="N261" s="126"/>
      <c r="O261" s="126"/>
      <c r="P261" s="126"/>
    </row>
    <row r="262" spans="2:16" s="121" customFormat="1" ht="3" customHeight="1" x14ac:dyDescent="0.2">
      <c r="B262" s="188"/>
      <c r="C262" s="189"/>
      <c r="D262" s="189"/>
      <c r="E262" s="190"/>
      <c r="F262" s="191"/>
      <c r="G262" s="191"/>
      <c r="H262" s="191"/>
      <c r="I262" s="191"/>
      <c r="J262" s="190"/>
      <c r="M262" s="126"/>
      <c r="N262" s="126"/>
      <c r="O262" s="126"/>
      <c r="P262" s="126"/>
    </row>
    <row r="263" spans="2:16" s="121" customFormat="1" ht="27.75" customHeight="1" x14ac:dyDescent="0.2">
      <c r="B263" s="460" t="s">
        <v>243</v>
      </c>
      <c r="C263" s="460"/>
      <c r="D263" s="59"/>
      <c r="E263" s="395" t="s">
        <v>244</v>
      </c>
      <c r="F263" s="158"/>
      <c r="G263" s="175" t="str">
        <f>IF(ISNUMBER(Elocal_drip_roll_facade),nhouses_applic_city*Elocal_drip_roll_facade,"??")</f>
        <v>??</v>
      </c>
      <c r="H263" s="158" t="s">
        <v>78</v>
      </c>
      <c r="I263" s="158" t="s">
        <v>7</v>
      </c>
      <c r="J263" s="395"/>
      <c r="M263" s="126"/>
      <c r="N263" s="126"/>
      <c r="O263" s="126"/>
      <c r="P263" s="126"/>
    </row>
    <row r="264" spans="2:16" s="121" customFormat="1" x14ac:dyDescent="0.2">
      <c r="B264" s="395"/>
      <c r="C264" s="395"/>
      <c r="D264" s="59"/>
      <c r="E264" s="395"/>
      <c r="F264" s="158"/>
      <c r="G264" s="158"/>
      <c r="H264" s="158"/>
      <c r="I264" s="158"/>
      <c r="J264" s="395"/>
      <c r="M264" s="126"/>
      <c r="N264" s="126"/>
      <c r="O264" s="126"/>
      <c r="P264" s="126"/>
    </row>
    <row r="265" spans="2:16" s="121" customFormat="1" x14ac:dyDescent="0.2">
      <c r="B265" s="167" t="s">
        <v>215</v>
      </c>
      <c r="C265" s="59"/>
      <c r="D265" s="59"/>
      <c r="E265" s="53"/>
      <c r="F265" s="158"/>
      <c r="G265" s="158"/>
      <c r="H265" s="158"/>
      <c r="I265" s="158"/>
      <c r="J265" s="53"/>
      <c r="M265" s="126"/>
      <c r="N265" s="126"/>
      <c r="O265" s="126"/>
      <c r="P265" s="126"/>
    </row>
    <row r="266" spans="2:16" s="121" customFormat="1" ht="3" customHeight="1" x14ac:dyDescent="0.2">
      <c r="B266" s="188"/>
      <c r="C266" s="189"/>
      <c r="D266" s="189"/>
      <c r="E266" s="190"/>
      <c r="F266" s="191"/>
      <c r="G266" s="191"/>
      <c r="H266" s="191"/>
      <c r="I266" s="191"/>
      <c r="J266" s="190"/>
      <c r="M266" s="126"/>
      <c r="N266" s="126"/>
      <c r="O266" s="126"/>
      <c r="P266" s="126"/>
    </row>
    <row r="267" spans="2:16" s="348" customFormat="1" x14ac:dyDescent="0.2">
      <c r="B267" s="167"/>
      <c r="C267" s="59"/>
      <c r="D267" s="59"/>
      <c r="E267" s="53"/>
      <c r="F267" s="158"/>
      <c r="G267" s="158"/>
      <c r="H267" s="158"/>
      <c r="I267" s="158"/>
      <c r="J267" s="53"/>
      <c r="M267" s="126"/>
      <c r="N267" s="126"/>
      <c r="O267" s="126"/>
      <c r="P267" s="126"/>
    </row>
    <row r="268" spans="2:16" s="348" customFormat="1" ht="15" x14ac:dyDescent="0.2">
      <c r="B268" s="471" t="s">
        <v>695</v>
      </c>
      <c r="C268" s="471"/>
      <c r="D268" s="59"/>
      <c r="E268" s="395" t="s">
        <v>775</v>
      </c>
      <c r="F268" s="158"/>
      <c r="G268" s="175" t="str">
        <f>IF(ISNUMBER(Elocal_drip_roll_facade),nhouses_applic_countryside*Elocal_drip_roll_facade,"??")</f>
        <v>??</v>
      </c>
      <c r="H268" s="158" t="s">
        <v>78</v>
      </c>
      <c r="I268" s="158" t="s">
        <v>7</v>
      </c>
      <c r="J268" s="395" t="s">
        <v>776</v>
      </c>
      <c r="K268" s="370"/>
      <c r="M268" s="126"/>
      <c r="N268" s="126"/>
      <c r="O268" s="126"/>
      <c r="P268" s="126"/>
    </row>
    <row r="269" spans="2:16" s="348" customFormat="1" x14ac:dyDescent="0.2">
      <c r="B269" s="381"/>
      <c r="C269" s="381"/>
      <c r="D269" s="59"/>
      <c r="E269" s="395"/>
      <c r="F269" s="158"/>
      <c r="G269" s="395"/>
      <c r="H269" s="158"/>
      <c r="I269" s="158"/>
      <c r="J269" s="395"/>
      <c r="K269" s="370"/>
      <c r="M269" s="126"/>
      <c r="N269" s="126"/>
      <c r="O269" s="126"/>
      <c r="P269" s="126"/>
    </row>
    <row r="270" spans="2:16" s="121" customFormat="1" ht="39" customHeight="1" x14ac:dyDescent="0.2">
      <c r="B270" s="460" t="s">
        <v>696</v>
      </c>
      <c r="C270" s="460"/>
      <c r="D270" s="59"/>
      <c r="E270" s="395" t="s">
        <v>245</v>
      </c>
      <c r="F270" s="158"/>
      <c r="G270" s="175" t="str">
        <f>IF(ISNUMBER(Elocal_drip_roll_facade),Elocal_drip_roll_facade/(Vsoil*RHOsoil_roller_brush),"??")</f>
        <v>??</v>
      </c>
      <c r="H270" s="158" t="s">
        <v>219</v>
      </c>
      <c r="I270" s="158" t="s">
        <v>7</v>
      </c>
      <c r="J270" s="395" t="s">
        <v>246</v>
      </c>
      <c r="M270" s="126"/>
      <c r="N270" s="126"/>
      <c r="O270" s="126"/>
      <c r="P270" s="126"/>
    </row>
    <row r="271" spans="2:16" s="348" customFormat="1" x14ac:dyDescent="0.2">
      <c r="B271" s="377"/>
      <c r="C271" s="377"/>
      <c r="D271" s="59"/>
      <c r="E271" s="377"/>
      <c r="F271" s="158"/>
      <c r="G271" s="158"/>
      <c r="H271" s="158"/>
      <c r="I271" s="158"/>
      <c r="J271" s="377"/>
      <c r="M271" s="126"/>
      <c r="N271" s="126"/>
      <c r="O271" s="126"/>
      <c r="P271" s="126"/>
    </row>
    <row r="272" spans="2:16" s="121" customFormat="1" x14ac:dyDescent="0.2">
      <c r="B272" s="143" t="s">
        <v>10</v>
      </c>
      <c r="J272" s="146"/>
    </row>
    <row r="273" spans="1:101" s="121" customFormat="1" x14ac:dyDescent="0.2">
      <c r="B273" s="143"/>
      <c r="J273" s="146"/>
    </row>
    <row r="274" spans="1:101" s="121" customFormat="1" x14ac:dyDescent="0.2">
      <c r="B274" s="256" t="s">
        <v>422</v>
      </c>
      <c r="J274" s="146"/>
    </row>
    <row r="275" spans="1:101" s="121" customFormat="1" x14ac:dyDescent="0.2">
      <c r="B275" s="255"/>
      <c r="J275" s="146"/>
    </row>
    <row r="276" spans="1:101" s="121" customFormat="1" x14ac:dyDescent="0.2">
      <c r="J276" s="146"/>
    </row>
    <row r="277" spans="1:101" s="121" customFormat="1" ht="14.25" x14ac:dyDescent="0.2">
      <c r="B277" s="435" t="s">
        <v>419</v>
      </c>
      <c r="C277" s="435"/>
      <c r="D277" s="435"/>
      <c r="E277" s="435"/>
      <c r="F277" s="435"/>
      <c r="G277" s="435"/>
      <c r="H277" s="435"/>
      <c r="I277" s="435"/>
      <c r="J277" s="435"/>
    </row>
    <row r="278" spans="1:101" s="121" customFormat="1" x14ac:dyDescent="0.2">
      <c r="B278" s="470"/>
      <c r="C278" s="470"/>
      <c r="D278" s="470"/>
      <c r="E278" s="470"/>
      <c r="F278" s="470"/>
      <c r="G278" s="470"/>
      <c r="H278" s="470"/>
      <c r="I278" s="470"/>
      <c r="J278" s="470"/>
    </row>
    <row r="279" spans="1:101" s="121" customFormat="1" ht="14.25" x14ac:dyDescent="0.2">
      <c r="B279" s="432" t="s">
        <v>420</v>
      </c>
      <c r="C279" s="433"/>
      <c r="D279" s="433"/>
      <c r="E279" s="433"/>
      <c r="F279" s="433"/>
      <c r="G279" s="433"/>
      <c r="H279" s="433"/>
      <c r="I279" s="433"/>
      <c r="J279" s="433"/>
    </row>
    <row r="280" spans="1:101" s="121" customFormat="1" ht="14.25" x14ac:dyDescent="0.2">
      <c r="B280" s="232"/>
      <c r="C280" s="232"/>
      <c r="D280" s="232"/>
      <c r="E280" s="232"/>
      <c r="F280" s="232"/>
      <c r="G280" s="232"/>
      <c r="H280" s="232"/>
      <c r="I280" s="232"/>
      <c r="J280" s="232"/>
    </row>
    <row r="281" spans="1:101" s="121" customFormat="1" ht="18" x14ac:dyDescent="0.2">
      <c r="A281" s="119"/>
      <c r="B281" s="448" t="s">
        <v>582</v>
      </c>
      <c r="C281" s="448"/>
      <c r="D281" s="448"/>
      <c r="E281" s="448"/>
      <c r="F281" s="448"/>
      <c r="G281" s="448"/>
      <c r="H281" s="448"/>
      <c r="I281" s="448"/>
      <c r="J281" s="448"/>
      <c r="BG281" s="122"/>
      <c r="BH281" s="122"/>
    </row>
    <row r="282" spans="1:101" s="121" customFormat="1" ht="3" customHeight="1" x14ac:dyDescent="0.2">
      <c r="A282" s="119"/>
      <c r="B282" s="119"/>
      <c r="C282" s="119"/>
      <c r="D282" s="119"/>
      <c r="E282" s="119"/>
      <c r="F282" s="119"/>
      <c r="G282" s="119"/>
      <c r="H282" s="120"/>
      <c r="I282" s="119"/>
      <c r="J282" s="119"/>
      <c r="BG282" s="122"/>
      <c r="BH282" s="122"/>
    </row>
    <row r="283" spans="1:101" s="121" customFormat="1" x14ac:dyDescent="0.2">
      <c r="B283" s="129" t="s">
        <v>8</v>
      </c>
      <c r="C283" s="128"/>
      <c r="D283" s="128"/>
      <c r="E283" s="128"/>
      <c r="F283" s="128"/>
      <c r="G283" s="128"/>
      <c r="H283" s="128"/>
      <c r="I283" s="128"/>
      <c r="J283" s="64"/>
      <c r="BN283" s="122"/>
      <c r="BO283" s="122"/>
      <c r="BP283" s="122"/>
      <c r="BQ283" s="122"/>
      <c r="BR283" s="122"/>
      <c r="BS283" s="122"/>
      <c r="BT283" s="122"/>
      <c r="BU283" s="122"/>
      <c r="BV283" s="122"/>
      <c r="BW283" s="122"/>
      <c r="BX283" s="122"/>
      <c r="BY283" s="122"/>
      <c r="BZ283" s="122"/>
      <c r="CA283" s="122"/>
      <c r="CB283" s="122"/>
      <c r="CC283" s="122"/>
      <c r="CD283" s="122"/>
      <c r="CE283" s="122"/>
      <c r="CF283" s="122"/>
      <c r="CG283" s="122"/>
      <c r="CH283" s="122"/>
      <c r="CI283" s="122"/>
      <c r="CJ283" s="122"/>
      <c r="CK283" s="122"/>
      <c r="CL283" s="122"/>
      <c r="CM283" s="122"/>
      <c r="CN283" s="122"/>
      <c r="CO283" s="122"/>
      <c r="CP283" s="122"/>
      <c r="CQ283" s="122"/>
      <c r="CR283" s="122"/>
      <c r="CS283" s="122"/>
      <c r="CT283" s="122"/>
      <c r="CU283" s="122"/>
      <c r="CV283" s="122"/>
      <c r="CW283" s="122"/>
    </row>
    <row r="284" spans="1:101" s="121" customFormat="1" x14ac:dyDescent="0.2">
      <c r="B284" s="449" t="s">
        <v>285</v>
      </c>
      <c r="C284" s="449"/>
      <c r="D284" s="449"/>
      <c r="E284" s="449"/>
      <c r="F284" s="449"/>
      <c r="G284" s="449"/>
      <c r="H284" s="449"/>
      <c r="I284" s="449"/>
      <c r="J284" s="449"/>
    </row>
    <row r="285" spans="1:101" s="121" customFormat="1" x14ac:dyDescent="0.2">
      <c r="B285" s="449" t="s">
        <v>284</v>
      </c>
      <c r="C285" s="449"/>
      <c r="D285" s="449"/>
      <c r="E285" s="449"/>
      <c r="F285" s="449"/>
      <c r="G285" s="449"/>
      <c r="H285" s="449"/>
      <c r="I285" s="449"/>
      <c r="J285" s="449"/>
    </row>
    <row r="286" spans="1:101" s="121" customFormat="1" ht="3" customHeight="1" x14ac:dyDescent="0.2">
      <c r="B286" s="145"/>
      <c r="J286" s="146"/>
    </row>
    <row r="287" spans="1:101" s="121" customFormat="1" ht="15" x14ac:dyDescent="0.2">
      <c r="B287" s="131" t="s">
        <v>0</v>
      </c>
      <c r="C287" s="132"/>
      <c r="D287" s="132"/>
      <c r="E287" s="132"/>
      <c r="F287" s="132"/>
      <c r="G287" s="132"/>
      <c r="H287" s="132"/>
      <c r="I287" s="132"/>
      <c r="J287" s="133"/>
      <c r="K287" s="66"/>
    </row>
    <row r="288" spans="1:101" s="121" customFormat="1" ht="3" customHeight="1" x14ac:dyDescent="0.2">
      <c r="B288" s="134"/>
      <c r="C288" s="134"/>
      <c r="D288" s="134"/>
      <c r="E288" s="134"/>
      <c r="F288" s="134"/>
      <c r="G288" s="134"/>
      <c r="H288" s="134"/>
      <c r="I288" s="134"/>
      <c r="J288" s="238"/>
    </row>
    <row r="289" spans="2:16" s="121" customFormat="1" ht="15" x14ac:dyDescent="0.2">
      <c r="B289" s="136" t="s">
        <v>2</v>
      </c>
      <c r="C289" s="136"/>
      <c r="D289" s="136"/>
      <c r="E289" s="137" t="s">
        <v>4</v>
      </c>
      <c r="F289" s="138"/>
      <c r="G289" s="138" t="s">
        <v>6</v>
      </c>
      <c r="H289" s="138" t="s">
        <v>3</v>
      </c>
      <c r="I289" s="138" t="s">
        <v>9</v>
      </c>
      <c r="J289" s="137" t="s">
        <v>15</v>
      </c>
    </row>
    <row r="290" spans="2:16" s="121" customFormat="1" ht="3" customHeight="1" x14ac:dyDescent="0.2">
      <c r="B290" s="134"/>
      <c r="C290" s="134"/>
      <c r="D290" s="134"/>
      <c r="E290" s="134"/>
      <c r="F290" s="134"/>
      <c r="G290" s="134"/>
      <c r="H290" s="134"/>
      <c r="I290" s="134"/>
      <c r="J290" s="238"/>
    </row>
    <row r="291" spans="2:16" s="121" customFormat="1" x14ac:dyDescent="0.2">
      <c r="B291" s="426" t="s">
        <v>673</v>
      </c>
      <c r="C291" s="426"/>
      <c r="D291" s="134"/>
      <c r="E291" s="134" t="s">
        <v>665</v>
      </c>
      <c r="F291" s="134"/>
      <c r="G291" s="139">
        <v>30</v>
      </c>
      <c r="H291" s="139" t="s">
        <v>20</v>
      </c>
      <c r="I291" s="148" t="str">
        <f>IF(TIME1=30, "D", "S")</f>
        <v>D</v>
      </c>
      <c r="J291" s="238"/>
    </row>
    <row r="292" spans="2:16" s="121" customFormat="1" ht="3" customHeight="1" x14ac:dyDescent="0.2">
      <c r="B292" s="134"/>
      <c r="C292" s="134"/>
      <c r="D292" s="134"/>
      <c r="E292" s="134"/>
      <c r="F292" s="134"/>
      <c r="G292" s="134"/>
      <c r="H292" s="134"/>
      <c r="I292" s="134"/>
      <c r="J292" s="238"/>
    </row>
    <row r="293" spans="2:16" s="121" customFormat="1" ht="27" customHeight="1" x14ac:dyDescent="0.2">
      <c r="B293" s="431" t="s">
        <v>667</v>
      </c>
      <c r="C293" s="431"/>
      <c r="D293" s="134"/>
      <c r="E293" s="134" t="s">
        <v>669</v>
      </c>
      <c r="F293" s="134"/>
      <c r="G293" s="139">
        <v>1795</v>
      </c>
      <c r="H293" s="139" t="s">
        <v>20</v>
      </c>
      <c r="I293" s="148" t="str">
        <f>IF(TIME2minusTIME1=1795, "D", "S")</f>
        <v>D</v>
      </c>
      <c r="J293" s="238"/>
    </row>
    <row r="294" spans="2:16" s="121" customFormat="1" ht="3" customHeight="1" x14ac:dyDescent="0.2">
      <c r="B294" s="134"/>
      <c r="C294" s="134"/>
      <c r="D294" s="134"/>
      <c r="E294" s="134"/>
      <c r="F294" s="134"/>
      <c r="G294" s="134"/>
      <c r="H294" s="134"/>
      <c r="I294" s="134"/>
      <c r="J294" s="238"/>
    </row>
    <row r="295" spans="2:16" s="121" customFormat="1" x14ac:dyDescent="0.2">
      <c r="B295" s="426" t="s">
        <v>674</v>
      </c>
      <c r="C295" s="426"/>
      <c r="D295" s="134"/>
      <c r="E295" s="236" t="s">
        <v>666</v>
      </c>
      <c r="F295" s="134"/>
      <c r="G295" s="139">
        <v>1825</v>
      </c>
      <c r="H295" s="139" t="s">
        <v>20</v>
      </c>
      <c r="I295" s="148" t="str">
        <f>IF(TIME2=1825, "D", "S")</f>
        <v>D</v>
      </c>
      <c r="J295" s="238"/>
      <c r="N295" s="140"/>
    </row>
    <row r="296" spans="2:16" s="121" customFormat="1" ht="3" customHeight="1" x14ac:dyDescent="0.2">
      <c r="B296" s="134"/>
      <c r="C296" s="134"/>
      <c r="D296" s="134"/>
      <c r="E296" s="236"/>
      <c r="F296" s="134"/>
      <c r="G296" s="139"/>
      <c r="H296" s="139"/>
      <c r="I296" s="139"/>
      <c r="J296" s="238"/>
    </row>
    <row r="297" spans="2:16" s="121" customFormat="1" x14ac:dyDescent="0.2">
      <c r="B297" s="134" t="s">
        <v>251</v>
      </c>
      <c r="C297" s="134"/>
      <c r="D297" s="134"/>
      <c r="E297" s="236" t="s">
        <v>115</v>
      </c>
      <c r="F297" s="134"/>
      <c r="G297" s="139">
        <v>4000</v>
      </c>
      <c r="H297" s="139" t="s">
        <v>5</v>
      </c>
      <c r="I297" s="148" t="str">
        <f>IF(Nhouse=4000, "D", "S")</f>
        <v>D</v>
      </c>
      <c r="J297" s="238"/>
    </row>
    <row r="298" spans="2:16" s="121" customFormat="1" ht="3" customHeight="1" x14ac:dyDescent="0.2">
      <c r="B298" s="134"/>
      <c r="C298" s="134"/>
      <c r="D298" s="134"/>
      <c r="E298" s="236"/>
      <c r="F298" s="134"/>
      <c r="G298" s="139"/>
      <c r="H298" s="139"/>
      <c r="I298" s="148"/>
      <c r="J298" s="238"/>
    </row>
    <row r="299" spans="2:16" s="121" customFormat="1" ht="27" customHeight="1" x14ac:dyDescent="0.2">
      <c r="B299" s="431" t="s">
        <v>583</v>
      </c>
      <c r="C299" s="431"/>
      <c r="D299" s="134"/>
      <c r="E299" s="236" t="s">
        <v>253</v>
      </c>
      <c r="F299" s="134"/>
      <c r="G299" s="139">
        <v>1</v>
      </c>
      <c r="H299" s="139" t="s">
        <v>5</v>
      </c>
      <c r="I299" s="148" t="str">
        <f>IF(fhouse=1, "D", "S")</f>
        <v>D</v>
      </c>
      <c r="J299" s="233" t="s">
        <v>252</v>
      </c>
    </row>
    <row r="300" spans="2:16" s="121" customFormat="1" ht="3" customHeight="1" x14ac:dyDescent="0.2">
      <c r="B300" s="134"/>
      <c r="C300" s="134"/>
      <c r="D300" s="134"/>
      <c r="E300" s="236"/>
      <c r="F300" s="134"/>
      <c r="G300" s="139"/>
      <c r="H300" s="139"/>
      <c r="I300" s="139"/>
      <c r="J300" s="238"/>
    </row>
    <row r="301" spans="2:16" s="121" customFormat="1" ht="30" customHeight="1" x14ac:dyDescent="0.2">
      <c r="B301" s="431" t="s">
        <v>268</v>
      </c>
      <c r="C301" s="431"/>
      <c r="D301" s="134"/>
      <c r="E301" s="236" t="s">
        <v>254</v>
      </c>
      <c r="F301" s="134"/>
      <c r="G301" s="141"/>
      <c r="H301" s="139" t="s">
        <v>255</v>
      </c>
      <c r="I301" s="148" t="s">
        <v>18</v>
      </c>
      <c r="J301" s="233"/>
    </row>
    <row r="302" spans="2:16" s="121" customFormat="1" ht="3" customHeight="1" x14ac:dyDescent="0.2">
      <c r="B302" s="134"/>
      <c r="C302" s="134"/>
      <c r="D302" s="134"/>
      <c r="E302" s="236"/>
      <c r="F302" s="134"/>
      <c r="G302" s="139"/>
      <c r="H302" s="139"/>
      <c r="I302" s="139"/>
      <c r="J302" s="238"/>
    </row>
    <row r="303" spans="2:16" s="121" customFormat="1" ht="30" customHeight="1" x14ac:dyDescent="0.2">
      <c r="B303" s="431" t="s">
        <v>675</v>
      </c>
      <c r="C303" s="431"/>
      <c r="D303" s="134"/>
      <c r="E303" s="236" t="s">
        <v>256</v>
      </c>
      <c r="F303" s="134"/>
      <c r="G303" s="141"/>
      <c r="H303" s="139" t="s">
        <v>255</v>
      </c>
      <c r="I303" s="148" t="s">
        <v>18</v>
      </c>
      <c r="J303" s="238"/>
      <c r="M303" s="126"/>
      <c r="N303" s="126"/>
      <c r="O303" s="126"/>
      <c r="P303" s="126"/>
    </row>
    <row r="304" spans="2:16" s="121" customFormat="1" ht="3" customHeight="1" x14ac:dyDescent="0.2">
      <c r="B304" s="134"/>
      <c r="C304" s="134"/>
      <c r="D304" s="134"/>
      <c r="E304" s="236"/>
      <c r="F304" s="134"/>
      <c r="G304" s="139"/>
      <c r="H304" s="139"/>
      <c r="I304" s="139"/>
      <c r="J304" s="238"/>
      <c r="M304" s="126"/>
      <c r="N304" s="126"/>
      <c r="O304" s="126"/>
      <c r="P304" s="126"/>
    </row>
    <row r="305" spans="2:16" s="121" customFormat="1" ht="15" x14ac:dyDescent="0.2">
      <c r="B305" s="426" t="s">
        <v>257</v>
      </c>
      <c r="C305" s="426"/>
      <c r="D305" s="134"/>
      <c r="E305" s="236" t="s">
        <v>258</v>
      </c>
      <c r="F305" s="134"/>
      <c r="G305" s="139">
        <v>125</v>
      </c>
      <c r="H305" s="139" t="s">
        <v>73</v>
      </c>
      <c r="I305" s="148" t="str">
        <f>IF(AREA_serv_life_city=125, "D", "S")</f>
        <v>D</v>
      </c>
      <c r="J305" s="233"/>
      <c r="M305" s="126"/>
      <c r="N305" s="126"/>
      <c r="O305" s="126"/>
      <c r="P305" s="126"/>
    </row>
    <row r="306" spans="2:16" s="121" customFormat="1" x14ac:dyDescent="0.2">
      <c r="B306" s="134"/>
      <c r="C306" s="134"/>
      <c r="D306" s="134"/>
      <c r="E306" s="134"/>
      <c r="F306" s="134"/>
      <c r="G306" s="134"/>
      <c r="H306" s="134"/>
      <c r="I306" s="134"/>
      <c r="J306" s="238"/>
      <c r="M306" s="126"/>
      <c r="N306" s="126"/>
      <c r="O306" s="126"/>
      <c r="P306" s="126"/>
    </row>
    <row r="307" spans="2:16" s="121" customFormat="1" ht="15" x14ac:dyDescent="0.2">
      <c r="B307" s="131" t="s">
        <v>1</v>
      </c>
      <c r="C307" s="132"/>
      <c r="D307" s="132"/>
      <c r="E307" s="132"/>
      <c r="F307" s="132"/>
      <c r="G307" s="132"/>
      <c r="H307" s="132"/>
      <c r="I307" s="132"/>
      <c r="J307" s="133"/>
      <c r="K307" s="66"/>
      <c r="M307" s="126"/>
      <c r="N307" s="126"/>
      <c r="O307" s="126"/>
      <c r="P307" s="126"/>
    </row>
    <row r="308" spans="2:16" s="121" customFormat="1" ht="3" customHeight="1" x14ac:dyDescent="0.2">
      <c r="B308" s="134"/>
      <c r="C308" s="134"/>
      <c r="D308" s="134"/>
      <c r="E308" s="134"/>
      <c r="F308" s="134"/>
      <c r="G308" s="134"/>
      <c r="H308" s="134"/>
      <c r="I308" s="134"/>
      <c r="J308" s="238"/>
      <c r="M308" s="126"/>
      <c r="N308" s="126"/>
      <c r="O308" s="126"/>
      <c r="P308" s="126"/>
    </row>
    <row r="309" spans="2:16" s="121" customFormat="1" ht="15" x14ac:dyDescent="0.2">
      <c r="B309" s="136" t="s">
        <v>2</v>
      </c>
      <c r="C309" s="136"/>
      <c r="D309" s="136"/>
      <c r="E309" s="137" t="s">
        <v>4</v>
      </c>
      <c r="F309" s="138"/>
      <c r="G309" s="138" t="s">
        <v>6</v>
      </c>
      <c r="H309" s="138" t="s">
        <v>3</v>
      </c>
      <c r="I309" s="138" t="s">
        <v>9</v>
      </c>
      <c r="J309" s="137" t="s">
        <v>15</v>
      </c>
      <c r="M309" s="126"/>
      <c r="N309" s="126"/>
      <c r="O309" s="126"/>
      <c r="P309" s="126"/>
    </row>
    <row r="310" spans="2:16" s="121" customFormat="1" ht="3" customHeight="1" x14ac:dyDescent="0.2">
      <c r="B310" s="136"/>
      <c r="C310" s="136"/>
      <c r="D310" s="136"/>
      <c r="E310" s="137"/>
      <c r="F310" s="138"/>
      <c r="G310" s="138"/>
      <c r="H310" s="138"/>
      <c r="I310" s="138"/>
      <c r="J310" s="137"/>
      <c r="M310" s="126"/>
      <c r="N310" s="126"/>
      <c r="O310" s="126"/>
      <c r="P310" s="126"/>
    </row>
    <row r="311" spans="2:16" s="121" customFormat="1" ht="26.25" customHeight="1" x14ac:dyDescent="0.2">
      <c r="B311" s="460" t="s">
        <v>259</v>
      </c>
      <c r="C311" s="460"/>
      <c r="D311" s="59"/>
      <c r="E311" s="239" t="s">
        <v>262</v>
      </c>
      <c r="F311" s="59"/>
      <c r="G311" s="199">
        <f>TIME1/TIME2*Nhouse*fhouse</f>
        <v>65.753424657534239</v>
      </c>
      <c r="H311" s="139" t="s">
        <v>5</v>
      </c>
      <c r="I311" s="158" t="s">
        <v>7</v>
      </c>
      <c r="J311" s="239" t="s">
        <v>670</v>
      </c>
      <c r="M311" s="126"/>
      <c r="N311" s="126"/>
      <c r="O311" s="126"/>
      <c r="P311" s="126"/>
    </row>
    <row r="312" spans="2:16" s="121" customFormat="1" ht="3" customHeight="1" x14ac:dyDescent="0.2">
      <c r="B312" s="59"/>
      <c r="C312" s="59"/>
      <c r="D312" s="59"/>
      <c r="E312" s="53"/>
      <c r="F312" s="158"/>
      <c r="G312" s="158"/>
      <c r="H312" s="139"/>
      <c r="I312" s="158"/>
      <c r="J312" s="53"/>
      <c r="M312" s="126"/>
      <c r="N312" s="126"/>
      <c r="O312" s="126"/>
      <c r="P312" s="126"/>
    </row>
    <row r="313" spans="2:16" s="121" customFormat="1" ht="27" customHeight="1" x14ac:dyDescent="0.2">
      <c r="B313" s="460" t="s">
        <v>260</v>
      </c>
      <c r="C313" s="460"/>
      <c r="D313" s="59"/>
      <c r="E313" s="239" t="s">
        <v>668</v>
      </c>
      <c r="F313" s="158"/>
      <c r="G313" s="199">
        <f>TIME2minusTIME1/TIME2*Nhouse*fhouse</f>
        <v>3934.2465753424658</v>
      </c>
      <c r="H313" s="139" t="s">
        <v>5</v>
      </c>
      <c r="I313" s="158" t="s">
        <v>7</v>
      </c>
      <c r="J313" s="239" t="s">
        <v>671</v>
      </c>
      <c r="M313" s="126"/>
      <c r="N313" s="126"/>
      <c r="O313" s="126"/>
      <c r="P313" s="126"/>
    </row>
    <row r="314" spans="2:16" s="121" customFormat="1" ht="3" customHeight="1" x14ac:dyDescent="0.2">
      <c r="B314" s="59"/>
      <c r="C314" s="59"/>
      <c r="D314" s="59"/>
      <c r="E314" s="53"/>
      <c r="F314" s="158"/>
      <c r="G314" s="158"/>
      <c r="H314" s="158"/>
      <c r="I314" s="158"/>
      <c r="J314" s="53"/>
      <c r="M314" s="126"/>
      <c r="N314" s="126"/>
      <c r="O314" s="126"/>
      <c r="P314" s="126"/>
    </row>
    <row r="315" spans="2:16" s="121" customFormat="1" ht="24" customHeight="1" x14ac:dyDescent="0.2">
      <c r="B315" s="460" t="s">
        <v>261</v>
      </c>
      <c r="C315" s="460"/>
      <c r="D315" s="59"/>
      <c r="E315" s="53" t="s">
        <v>584</v>
      </c>
      <c r="F315" s="158"/>
      <c r="G315" s="175" t="str">
        <f>IF(AND(ISNUMBER(Qleach_time1),ISNUMBER(Qleach_time2)),(Nhouse_initial*Qleach_time1*AREA_serv_life_city)/TIME1+(Nhouse_longer*Qleach_time2*AREA_serv_life_city)/TIME2minusTIME1,"??")</f>
        <v>??</v>
      </c>
      <c r="H315" s="158" t="s">
        <v>78</v>
      </c>
      <c r="I315" s="158" t="s">
        <v>7</v>
      </c>
      <c r="J315" s="375" t="s">
        <v>689</v>
      </c>
      <c r="M315" s="126"/>
      <c r="N315" s="126"/>
      <c r="O315" s="126"/>
      <c r="P315" s="126"/>
    </row>
    <row r="316" spans="2:16" s="121" customFormat="1" x14ac:dyDescent="0.2">
      <c r="B316" s="59"/>
      <c r="C316" s="59"/>
      <c r="D316" s="59"/>
      <c r="E316" s="53"/>
      <c r="F316" s="158"/>
      <c r="G316" s="158"/>
      <c r="H316" s="158"/>
      <c r="I316" s="158"/>
      <c r="J316" s="53"/>
      <c r="M316" s="126"/>
      <c r="N316" s="126"/>
      <c r="O316" s="126"/>
      <c r="P316" s="126"/>
    </row>
    <row r="317" spans="2:16" s="121" customFormat="1" x14ac:dyDescent="0.2">
      <c r="B317" s="143" t="s">
        <v>10</v>
      </c>
      <c r="J317" s="146"/>
    </row>
    <row r="318" spans="2:16" s="121" customFormat="1" x14ac:dyDescent="0.2">
      <c r="B318" s="143"/>
      <c r="J318" s="146"/>
    </row>
    <row r="319" spans="2:16" s="121" customFormat="1" x14ac:dyDescent="0.2">
      <c r="B319" s="255" t="s">
        <v>422</v>
      </c>
      <c r="J319" s="146"/>
    </row>
    <row r="320" spans="2:16" s="121" customFormat="1" x14ac:dyDescent="0.2">
      <c r="J320" s="146"/>
    </row>
    <row r="321" spans="1:101" s="121" customFormat="1" ht="14.25" customHeight="1" x14ac:dyDescent="0.2">
      <c r="B321" s="432" t="s">
        <v>421</v>
      </c>
      <c r="C321" s="433"/>
      <c r="D321" s="433"/>
      <c r="E321" s="433"/>
      <c r="F321" s="433"/>
      <c r="G321" s="433"/>
      <c r="H321" s="433"/>
      <c r="I321" s="433"/>
      <c r="J321" s="433"/>
    </row>
    <row r="322" spans="1:101" s="121" customFormat="1" ht="14.25" x14ac:dyDescent="0.2">
      <c r="B322" s="232"/>
      <c r="C322" s="232"/>
      <c r="D322" s="232"/>
      <c r="E322" s="232"/>
      <c r="F322" s="232"/>
      <c r="G322" s="232"/>
      <c r="H322" s="232"/>
      <c r="I322" s="232"/>
      <c r="J322" s="232"/>
    </row>
    <row r="323" spans="1:101" s="121" customFormat="1" ht="34.5" customHeight="1" x14ac:dyDescent="0.2">
      <c r="A323" s="119"/>
      <c r="B323" s="437" t="s">
        <v>585</v>
      </c>
      <c r="C323" s="437"/>
      <c r="D323" s="437"/>
      <c r="E323" s="437"/>
      <c r="F323" s="437"/>
      <c r="G323" s="437"/>
      <c r="H323" s="437"/>
      <c r="I323" s="437"/>
      <c r="J323" s="437"/>
      <c r="BG323" s="122"/>
      <c r="BH323" s="122"/>
    </row>
    <row r="324" spans="1:101" s="121" customFormat="1" ht="3" customHeight="1" x14ac:dyDescent="0.2">
      <c r="A324" s="119"/>
      <c r="B324" s="472"/>
      <c r="C324" s="472"/>
      <c r="D324" s="472"/>
      <c r="E324" s="472"/>
      <c r="F324" s="472"/>
      <c r="G324" s="472"/>
      <c r="H324" s="472"/>
      <c r="I324" s="472"/>
      <c r="J324" s="472"/>
      <c r="BG324" s="122"/>
      <c r="BH324" s="122"/>
    </row>
    <row r="325" spans="1:101" s="121" customFormat="1" x14ac:dyDescent="0.2">
      <c r="B325" s="129" t="s">
        <v>8</v>
      </c>
      <c r="C325" s="128"/>
      <c r="D325" s="128"/>
      <c r="E325" s="128"/>
      <c r="F325" s="128"/>
      <c r="G325" s="128"/>
      <c r="H325" s="128"/>
      <c r="I325" s="128"/>
      <c r="J325" s="64"/>
      <c r="BN325" s="122"/>
      <c r="BO325" s="122"/>
      <c r="BP325" s="122"/>
      <c r="BQ325" s="122"/>
      <c r="BR325" s="122"/>
      <c r="BS325" s="122"/>
      <c r="BT325" s="122"/>
      <c r="BU325" s="122"/>
      <c r="BV325" s="122"/>
      <c r="BW325" s="122"/>
      <c r="BX325" s="122"/>
      <c r="BY325" s="122"/>
      <c r="BZ325" s="122"/>
      <c r="CA325" s="122"/>
      <c r="CB325" s="122"/>
      <c r="CC325" s="122"/>
      <c r="CD325" s="122"/>
      <c r="CE325" s="122"/>
      <c r="CF325" s="122"/>
      <c r="CG325" s="122"/>
      <c r="CH325" s="122"/>
      <c r="CI325" s="122"/>
      <c r="CJ325" s="122"/>
      <c r="CK325" s="122"/>
      <c r="CL325" s="122"/>
      <c r="CM325" s="122"/>
      <c r="CN325" s="122"/>
      <c r="CO325" s="122"/>
      <c r="CP325" s="122"/>
      <c r="CQ325" s="122"/>
      <c r="CR325" s="122"/>
      <c r="CS325" s="122"/>
      <c r="CT325" s="122"/>
      <c r="CU325" s="122"/>
      <c r="CV325" s="122"/>
      <c r="CW325" s="122"/>
    </row>
    <row r="326" spans="1:101" s="121" customFormat="1" x14ac:dyDescent="0.2">
      <c r="B326" s="449" t="s">
        <v>285</v>
      </c>
      <c r="C326" s="449"/>
      <c r="D326" s="449"/>
      <c r="E326" s="449"/>
      <c r="F326" s="449"/>
      <c r="G326" s="449"/>
      <c r="H326" s="449"/>
      <c r="I326" s="449"/>
      <c r="J326" s="449"/>
    </row>
    <row r="327" spans="1:101" s="121" customFormat="1" x14ac:dyDescent="0.2">
      <c r="B327" s="449" t="s">
        <v>250</v>
      </c>
      <c r="C327" s="449"/>
      <c r="D327" s="449"/>
      <c r="E327" s="449"/>
      <c r="F327" s="449"/>
      <c r="G327" s="449"/>
      <c r="H327" s="449"/>
      <c r="I327" s="449"/>
      <c r="J327" s="449"/>
    </row>
    <row r="328" spans="1:101" s="121" customFormat="1" ht="3" customHeight="1" x14ac:dyDescent="0.2">
      <c r="B328" s="145"/>
      <c r="J328" s="146"/>
    </row>
    <row r="329" spans="1:101" s="121" customFormat="1" ht="15" x14ac:dyDescent="0.2">
      <c r="B329" s="131" t="s">
        <v>0</v>
      </c>
      <c r="C329" s="132"/>
      <c r="D329" s="132"/>
      <c r="E329" s="132"/>
      <c r="F329" s="132"/>
      <c r="G329" s="132"/>
      <c r="H329" s="132"/>
      <c r="I329" s="132"/>
      <c r="J329" s="133"/>
    </row>
    <row r="330" spans="1:101" s="121" customFormat="1" ht="3" customHeight="1" x14ac:dyDescent="0.2">
      <c r="B330" s="134"/>
      <c r="C330" s="134"/>
      <c r="D330" s="134"/>
      <c r="E330" s="134"/>
      <c r="F330" s="134"/>
      <c r="G330" s="134"/>
      <c r="H330" s="134"/>
      <c r="I330" s="134"/>
      <c r="J330" s="238"/>
    </row>
    <row r="331" spans="1:101" s="121" customFormat="1" ht="15" x14ac:dyDescent="0.2">
      <c r="B331" s="136" t="s">
        <v>2</v>
      </c>
      <c r="C331" s="136"/>
      <c r="D331" s="136"/>
      <c r="E331" s="137" t="s">
        <v>4</v>
      </c>
      <c r="F331" s="138"/>
      <c r="G331" s="138" t="s">
        <v>6</v>
      </c>
      <c r="H331" s="138" t="s">
        <v>3</v>
      </c>
      <c r="I331" s="138" t="s">
        <v>9</v>
      </c>
      <c r="J331" s="137" t="s">
        <v>15</v>
      </c>
    </row>
    <row r="332" spans="1:101" s="121" customFormat="1" ht="3" customHeight="1" x14ac:dyDescent="0.2">
      <c r="B332" s="134"/>
      <c r="C332" s="134"/>
      <c r="D332" s="134"/>
      <c r="E332" s="134"/>
      <c r="F332" s="134"/>
      <c r="G332" s="134"/>
      <c r="H332" s="134"/>
      <c r="I332" s="134"/>
      <c r="J332" s="238"/>
    </row>
    <row r="333" spans="1:101" s="121" customFormat="1" ht="15" x14ac:dyDescent="0.2">
      <c r="B333" s="431" t="s">
        <v>676</v>
      </c>
      <c r="C333" s="431"/>
      <c r="D333" s="134"/>
      <c r="E333" s="134" t="s">
        <v>263</v>
      </c>
      <c r="F333" s="134"/>
      <c r="G333" s="139">
        <v>125</v>
      </c>
      <c r="H333" s="139" t="s">
        <v>73</v>
      </c>
      <c r="I333" s="148" t="str">
        <f>IF(AREA_facade=125, "D", "S")</f>
        <v>D</v>
      </c>
      <c r="J333" s="238"/>
    </row>
    <row r="334" spans="1:101" s="121" customFormat="1" ht="3" customHeight="1" x14ac:dyDescent="0.2">
      <c r="B334" s="134"/>
      <c r="C334" s="134"/>
      <c r="D334" s="134"/>
      <c r="E334" s="134"/>
      <c r="F334" s="134"/>
      <c r="G334" s="134"/>
      <c r="H334" s="134"/>
      <c r="I334" s="134"/>
      <c r="J334" s="238"/>
    </row>
    <row r="335" spans="1:101" s="121" customFormat="1" x14ac:dyDescent="0.2">
      <c r="B335" s="431" t="s">
        <v>264</v>
      </c>
      <c r="C335" s="431"/>
      <c r="D335" s="134"/>
      <c r="E335" s="134" t="s">
        <v>265</v>
      </c>
      <c r="F335" s="134"/>
      <c r="G335" s="139">
        <v>30</v>
      </c>
      <c r="H335" s="139" t="s">
        <v>20</v>
      </c>
      <c r="I335" s="148" t="str">
        <f>IF(TIME1_facade=30, "D", "S")</f>
        <v>D</v>
      </c>
      <c r="J335" s="238"/>
    </row>
    <row r="336" spans="1:101" s="348" customFormat="1" ht="3" customHeight="1" x14ac:dyDescent="0.2">
      <c r="B336" s="373"/>
      <c r="C336" s="373"/>
      <c r="D336" s="134"/>
      <c r="E336" s="134"/>
      <c r="F336" s="134"/>
      <c r="G336" s="139"/>
      <c r="H336" s="139"/>
      <c r="I336" s="148"/>
      <c r="J336" s="372"/>
    </row>
    <row r="337" spans="2:10" s="348" customFormat="1" x14ac:dyDescent="0.2">
      <c r="B337" s="431" t="s">
        <v>677</v>
      </c>
      <c r="C337" s="431"/>
      <c r="D337" s="134"/>
      <c r="E337" s="134" t="s">
        <v>267</v>
      </c>
      <c r="F337" s="134"/>
      <c r="G337" s="139">
        <v>365</v>
      </c>
      <c r="H337" s="139" t="s">
        <v>20</v>
      </c>
      <c r="I337" s="148" t="str">
        <f>IF(TIME1_facade=30, "D", "S")</f>
        <v>D</v>
      </c>
      <c r="J337" s="372"/>
    </row>
    <row r="338" spans="2:10" s="121" customFormat="1" ht="3" customHeight="1" x14ac:dyDescent="0.2">
      <c r="B338" s="134"/>
      <c r="C338" s="134"/>
      <c r="D338" s="134"/>
      <c r="E338" s="134"/>
      <c r="F338" s="134"/>
      <c r="G338" s="134"/>
      <c r="H338" s="134"/>
      <c r="I338" s="134"/>
      <c r="J338" s="238"/>
    </row>
    <row r="339" spans="2:10" s="121" customFormat="1" x14ac:dyDescent="0.2">
      <c r="B339" s="426" t="s">
        <v>266</v>
      </c>
      <c r="C339" s="426"/>
      <c r="D339" s="134"/>
      <c r="E339" s="236" t="s">
        <v>678</v>
      </c>
      <c r="F339" s="134"/>
      <c r="G339" s="139">
        <v>1825</v>
      </c>
      <c r="H339" s="139" t="s">
        <v>20</v>
      </c>
      <c r="I339" s="148" t="str">
        <f>IF(TIME3_facade=1825, "D", "S")</f>
        <v>D</v>
      </c>
      <c r="J339" s="238"/>
    </row>
    <row r="340" spans="2:10" s="121" customFormat="1" ht="3" customHeight="1" x14ac:dyDescent="0.2">
      <c r="B340" s="134"/>
      <c r="C340" s="134"/>
      <c r="D340" s="134"/>
      <c r="E340" s="236"/>
      <c r="F340" s="134"/>
      <c r="G340" s="139"/>
      <c r="H340" s="139"/>
      <c r="I340" s="139"/>
      <c r="J340" s="238"/>
    </row>
    <row r="341" spans="2:10" s="121" customFormat="1" ht="27" customHeight="1" x14ac:dyDescent="0.2">
      <c r="B341" s="431" t="s">
        <v>268</v>
      </c>
      <c r="C341" s="431"/>
      <c r="D341" s="134"/>
      <c r="E341" s="236" t="s">
        <v>254</v>
      </c>
      <c r="F341" s="134"/>
      <c r="G341" s="141"/>
      <c r="H341" s="139" t="s">
        <v>255</v>
      </c>
      <c r="I341" s="148" t="s">
        <v>18</v>
      </c>
      <c r="J341" s="233"/>
    </row>
    <row r="342" spans="2:10" s="348" customFormat="1" ht="3" customHeight="1" x14ac:dyDescent="0.2">
      <c r="B342" s="373"/>
      <c r="C342" s="373"/>
      <c r="D342" s="134"/>
      <c r="E342" s="374"/>
      <c r="F342" s="134"/>
      <c r="G342" s="139"/>
      <c r="H342" s="139"/>
      <c r="I342" s="148"/>
      <c r="J342" s="373"/>
    </row>
    <row r="343" spans="2:10" s="348" customFormat="1" ht="28.5" customHeight="1" x14ac:dyDescent="0.2">
      <c r="B343" s="431" t="s">
        <v>681</v>
      </c>
      <c r="C343" s="431"/>
      <c r="D343" s="134"/>
      <c r="E343" s="374" t="s">
        <v>256</v>
      </c>
      <c r="F343" s="134"/>
      <c r="G343" s="354"/>
      <c r="H343" s="139" t="s">
        <v>255</v>
      </c>
      <c r="I343" s="148" t="s">
        <v>18</v>
      </c>
      <c r="J343" s="373"/>
    </row>
    <row r="344" spans="2:10" s="121" customFormat="1" ht="3" customHeight="1" x14ac:dyDescent="0.2">
      <c r="B344" s="134"/>
      <c r="C344" s="134"/>
      <c r="D344" s="134"/>
      <c r="E344" s="236"/>
      <c r="F344" s="134"/>
      <c r="G344" s="139"/>
      <c r="H344" s="139"/>
      <c r="I344" s="139"/>
      <c r="J344" s="238"/>
    </row>
    <row r="345" spans="2:10" s="121" customFormat="1" ht="24.75" customHeight="1" x14ac:dyDescent="0.2">
      <c r="B345" s="431" t="s">
        <v>680</v>
      </c>
      <c r="C345" s="431"/>
      <c r="D345" s="134"/>
      <c r="E345" s="236" t="s">
        <v>679</v>
      </c>
      <c r="F345" s="134"/>
      <c r="G345" s="141"/>
      <c r="H345" s="139" t="s">
        <v>255</v>
      </c>
      <c r="I345" s="148" t="s">
        <v>18</v>
      </c>
      <c r="J345" s="238"/>
    </row>
    <row r="346" spans="2:10" s="121" customFormat="1" ht="3" customHeight="1" x14ac:dyDescent="0.2">
      <c r="B346" s="134"/>
      <c r="C346" s="134"/>
      <c r="D346" s="134"/>
      <c r="E346" s="236"/>
      <c r="F346" s="134"/>
      <c r="G346" s="139"/>
      <c r="H346" s="139"/>
      <c r="I346" s="139"/>
      <c r="J346" s="238"/>
    </row>
    <row r="347" spans="2:10" s="121" customFormat="1" ht="15" x14ac:dyDescent="0.2">
      <c r="B347" s="134" t="s">
        <v>270</v>
      </c>
      <c r="C347" s="134"/>
      <c r="D347" s="134"/>
      <c r="E347" s="236" t="s">
        <v>240</v>
      </c>
      <c r="F347" s="134"/>
      <c r="G347" s="139">
        <v>13</v>
      </c>
      <c r="H347" s="139" t="s">
        <v>21</v>
      </c>
      <c r="I347" s="148" t="str">
        <f>IF(Vsoil_countryside=13, "D", "S")</f>
        <v>D</v>
      </c>
      <c r="J347" s="238"/>
    </row>
    <row r="348" spans="2:10" s="121" customFormat="1" ht="3" customHeight="1" x14ac:dyDescent="0.2">
      <c r="B348" s="134"/>
      <c r="C348" s="134"/>
      <c r="D348" s="134"/>
      <c r="E348" s="236"/>
      <c r="F348" s="134"/>
      <c r="G348" s="139"/>
      <c r="H348" s="139"/>
      <c r="I348" s="139"/>
      <c r="J348" s="238"/>
    </row>
    <row r="349" spans="2:10" s="121" customFormat="1" ht="15" x14ac:dyDescent="0.2">
      <c r="B349" s="426" t="s">
        <v>672</v>
      </c>
      <c r="C349" s="426"/>
      <c r="D349" s="134"/>
      <c r="E349" s="236" t="s">
        <v>271</v>
      </c>
      <c r="F349" s="134"/>
      <c r="G349" s="139">
        <v>1700</v>
      </c>
      <c r="H349" s="139" t="s">
        <v>688</v>
      </c>
      <c r="I349" s="148" t="str">
        <f>IF(RHOsoil=1700, "D", "S")</f>
        <v>D</v>
      </c>
      <c r="J349" s="233"/>
    </row>
    <row r="350" spans="2:10" s="348" customFormat="1" ht="3" customHeight="1" x14ac:dyDescent="0.2">
      <c r="B350" s="392"/>
      <c r="C350" s="392"/>
      <c r="D350" s="134"/>
      <c r="E350" s="394"/>
      <c r="F350" s="134"/>
      <c r="G350" s="139"/>
      <c r="H350" s="139"/>
      <c r="I350" s="148"/>
      <c r="J350" s="393"/>
    </row>
    <row r="351" spans="2:10" s="348" customFormat="1" ht="15" x14ac:dyDescent="0.2">
      <c r="B351" s="392" t="s">
        <v>790</v>
      </c>
      <c r="C351" s="392"/>
      <c r="D351" s="134"/>
      <c r="E351" s="407" t="s">
        <v>791</v>
      </c>
      <c r="F351" s="134"/>
      <c r="G351" s="411"/>
      <c r="H351" s="410" t="s">
        <v>792</v>
      </c>
      <c r="I351" s="410" t="s">
        <v>18</v>
      </c>
      <c r="J351" s="393"/>
    </row>
    <row r="352" spans="2:10" s="348" customFormat="1" ht="3" customHeight="1" x14ac:dyDescent="0.2">
      <c r="B352" s="398"/>
      <c r="C352" s="398"/>
      <c r="D352" s="409"/>
      <c r="E352" s="407"/>
      <c r="F352" s="409"/>
      <c r="G352" s="410"/>
      <c r="H352" s="410"/>
      <c r="I352" s="410"/>
      <c r="J352" s="397"/>
    </row>
    <row r="353" spans="2:11" s="348" customFormat="1" ht="15" x14ac:dyDescent="0.2">
      <c r="B353" s="398" t="s">
        <v>797</v>
      </c>
      <c r="C353" s="398"/>
      <c r="D353" s="409"/>
      <c r="E353" s="407" t="s">
        <v>798</v>
      </c>
      <c r="F353" s="409"/>
      <c r="G353" s="411"/>
      <c r="H353" s="410" t="s">
        <v>796</v>
      </c>
      <c r="I353" s="410" t="s">
        <v>18</v>
      </c>
      <c r="J353" s="397"/>
    </row>
    <row r="354" spans="2:11" s="121" customFormat="1" x14ac:dyDescent="0.2">
      <c r="B354" s="134"/>
      <c r="C354" s="134"/>
      <c r="D354" s="134"/>
      <c r="E354" s="134"/>
      <c r="F354" s="134"/>
      <c r="G354" s="134"/>
      <c r="H354" s="134"/>
      <c r="I354" s="134"/>
      <c r="J354" s="238"/>
    </row>
    <row r="355" spans="2:11" s="121" customFormat="1" ht="15" x14ac:dyDescent="0.2">
      <c r="B355" s="131" t="s">
        <v>1</v>
      </c>
      <c r="C355" s="132"/>
      <c r="D355" s="132"/>
      <c r="E355" s="132"/>
      <c r="F355" s="132"/>
      <c r="G355" s="132"/>
      <c r="H355" s="132"/>
      <c r="I355" s="132"/>
      <c r="J355" s="133"/>
    </row>
    <row r="356" spans="2:11" s="121" customFormat="1" ht="3" customHeight="1" x14ac:dyDescent="0.2">
      <c r="B356" s="134"/>
      <c r="C356" s="134"/>
      <c r="D356" s="134"/>
      <c r="E356" s="134"/>
      <c r="F356" s="134"/>
      <c r="G356" s="134"/>
      <c r="H356" s="134"/>
      <c r="I356" s="134"/>
      <c r="J356" s="238"/>
    </row>
    <row r="357" spans="2:11" s="121" customFormat="1" ht="15" x14ac:dyDescent="0.2">
      <c r="B357" s="136" t="s">
        <v>2</v>
      </c>
      <c r="C357" s="136"/>
      <c r="D357" s="136"/>
      <c r="E357" s="137" t="s">
        <v>4</v>
      </c>
      <c r="F357" s="138"/>
      <c r="G357" s="138" t="s">
        <v>6</v>
      </c>
      <c r="H357" s="138" t="s">
        <v>3</v>
      </c>
      <c r="I357" s="138" t="s">
        <v>9</v>
      </c>
      <c r="J357" s="137" t="s">
        <v>15</v>
      </c>
    </row>
    <row r="358" spans="2:11" s="121" customFormat="1" ht="3" customHeight="1" x14ac:dyDescent="0.2">
      <c r="B358" s="136"/>
      <c r="C358" s="136"/>
      <c r="D358" s="136"/>
      <c r="E358" s="137"/>
      <c r="F358" s="138"/>
      <c r="G358" s="138"/>
      <c r="H358" s="138"/>
      <c r="I358" s="138"/>
      <c r="J358" s="137"/>
    </row>
    <row r="359" spans="2:11" s="348" customFormat="1" ht="24" customHeight="1" x14ac:dyDescent="0.2">
      <c r="B359" s="460" t="s">
        <v>661</v>
      </c>
      <c r="C359" s="460"/>
      <c r="D359" s="59"/>
      <c r="E359" s="395" t="s">
        <v>784</v>
      </c>
      <c r="F359" s="158"/>
      <c r="G359" s="175" t="str">
        <f>IF(ISNUMBER(Qleach_time1_soil),Qleach_time1_soil*AREA_facade/TIME1_facade,"??")</f>
        <v>??</v>
      </c>
      <c r="H359" s="158" t="s">
        <v>78</v>
      </c>
      <c r="I359" s="158" t="s">
        <v>7</v>
      </c>
      <c r="J359" s="395" t="s">
        <v>785</v>
      </c>
      <c r="K359" s="370"/>
    </row>
    <row r="360" spans="2:11" s="348" customFormat="1" ht="3" customHeight="1" x14ac:dyDescent="0.2">
      <c r="B360" s="395"/>
      <c r="C360" s="395"/>
      <c r="D360" s="59"/>
      <c r="E360" s="395"/>
      <c r="F360" s="158"/>
      <c r="G360" s="158"/>
      <c r="H360" s="158"/>
      <c r="I360" s="158"/>
      <c r="J360" s="395"/>
      <c r="K360" s="370"/>
    </row>
    <row r="361" spans="2:11" s="348" customFormat="1" ht="27.75" customHeight="1" x14ac:dyDescent="0.2">
      <c r="B361" s="460" t="s">
        <v>687</v>
      </c>
      <c r="C361" s="460"/>
      <c r="D361" s="59"/>
      <c r="E361" s="395" t="s">
        <v>786</v>
      </c>
      <c r="F361" s="158"/>
      <c r="G361" s="175" t="str">
        <f>IF(ISNUMBER(Qleach_time2_soil),Qleach_time2_soil*AREA_facade/TIME2_facade,"??")</f>
        <v>??</v>
      </c>
      <c r="H361" s="158" t="s">
        <v>78</v>
      </c>
      <c r="I361" s="158" t="s">
        <v>7</v>
      </c>
      <c r="J361" s="395" t="s">
        <v>787</v>
      </c>
      <c r="K361" s="370"/>
    </row>
    <row r="362" spans="2:11" s="348" customFormat="1" ht="3" customHeight="1" x14ac:dyDescent="0.2">
      <c r="B362" s="395"/>
      <c r="C362" s="395"/>
      <c r="D362" s="59"/>
      <c r="E362" s="395"/>
      <c r="F362" s="158"/>
      <c r="G362" s="158"/>
      <c r="H362" s="158"/>
      <c r="I362" s="158"/>
      <c r="J362" s="395"/>
    </row>
    <row r="363" spans="2:11" s="348" customFormat="1" ht="27.75" customHeight="1" x14ac:dyDescent="0.2">
      <c r="B363" s="460" t="s">
        <v>686</v>
      </c>
      <c r="C363" s="460"/>
      <c r="D363" s="59"/>
      <c r="E363" s="395" t="s">
        <v>788</v>
      </c>
      <c r="F363" s="158"/>
      <c r="G363" s="175" t="str">
        <f>IF(ISNUMBER(Qleach_time3_soil),Qleach_time3_soil*AREA_facade/TIME3_facade,"??")</f>
        <v>??</v>
      </c>
      <c r="H363" s="158" t="s">
        <v>78</v>
      </c>
      <c r="I363" s="158" t="s">
        <v>7</v>
      </c>
      <c r="J363" s="395" t="s">
        <v>789</v>
      </c>
    </row>
    <row r="364" spans="2:11" s="348" customFormat="1" ht="3" customHeight="1" x14ac:dyDescent="0.2">
      <c r="B364" s="136"/>
      <c r="C364" s="136"/>
      <c r="D364" s="136"/>
      <c r="E364" s="137"/>
      <c r="F364" s="138"/>
      <c r="G364" s="138"/>
      <c r="H364" s="138"/>
      <c r="I364" s="138"/>
      <c r="J364" s="137"/>
    </row>
    <row r="365" spans="2:11" s="121" customFormat="1" ht="25.5" customHeight="1" x14ac:dyDescent="0.2">
      <c r="B365" s="460" t="s">
        <v>272</v>
      </c>
      <c r="C365" s="460"/>
      <c r="D365" s="59"/>
      <c r="E365" s="239" t="s">
        <v>275</v>
      </c>
      <c r="F365" s="59"/>
      <c r="G365" s="175" t="str">
        <f>IF(ISNUMBER(Qleach_time1_soil),Qleach_time1_soil*AREA_facade/(Vsoil_countryside*RHOsoil),"??")</f>
        <v>??</v>
      </c>
      <c r="H365" s="139" t="s">
        <v>795</v>
      </c>
      <c r="I365" s="158" t="s">
        <v>7</v>
      </c>
      <c r="J365" s="239" t="s">
        <v>277</v>
      </c>
    </row>
    <row r="366" spans="2:11" s="348" customFormat="1" ht="3" customHeight="1" x14ac:dyDescent="0.2">
      <c r="B366" s="375"/>
      <c r="C366" s="375"/>
      <c r="D366" s="59"/>
      <c r="E366" s="375"/>
      <c r="F366" s="59"/>
      <c r="G366" s="158"/>
      <c r="H366" s="139"/>
      <c r="I366" s="158"/>
      <c r="J366" s="375"/>
    </row>
    <row r="367" spans="2:11" s="348" customFormat="1" ht="25.5" customHeight="1" x14ac:dyDescent="0.2">
      <c r="B367" s="460" t="s">
        <v>682</v>
      </c>
      <c r="C367" s="460"/>
      <c r="D367" s="59"/>
      <c r="E367" s="375" t="s">
        <v>276</v>
      </c>
      <c r="F367" s="59"/>
      <c r="G367" s="175" t="str">
        <f>IF(ISNUMBER(Qleach_time2_soil),Qleach_time2_soil*AREA_facade/(Vsoil_countryside*RHOsoil),"??")</f>
        <v>??</v>
      </c>
      <c r="H367" s="139" t="s">
        <v>795</v>
      </c>
      <c r="I367" s="158" t="s">
        <v>7</v>
      </c>
      <c r="J367" s="375" t="s">
        <v>278</v>
      </c>
    </row>
    <row r="368" spans="2:11" s="121" customFormat="1" ht="3" customHeight="1" x14ac:dyDescent="0.2">
      <c r="B368" s="59"/>
      <c r="C368" s="59"/>
      <c r="D368" s="59"/>
      <c r="E368" s="53"/>
      <c r="F368" s="158"/>
      <c r="G368" s="158"/>
      <c r="H368" s="139"/>
      <c r="I368" s="158"/>
      <c r="J368" s="53"/>
    </row>
    <row r="369" spans="2:16" s="121" customFormat="1" ht="28.5" customHeight="1" x14ac:dyDescent="0.2">
      <c r="B369" s="460" t="s">
        <v>683</v>
      </c>
      <c r="C369" s="460"/>
      <c r="D369" s="59"/>
      <c r="E369" s="239" t="s">
        <v>684</v>
      </c>
      <c r="F369" s="158"/>
      <c r="G369" s="175" t="str">
        <f>IF(ISNUMBER(Qleach_time3_soil),Qleach_time3_soil*AREA_facade/(Vsoil_countryside*RHOsoil),"??")</f>
        <v>??</v>
      </c>
      <c r="H369" s="139" t="s">
        <v>795</v>
      </c>
      <c r="I369" s="158" t="s">
        <v>7</v>
      </c>
      <c r="J369" s="239" t="s">
        <v>685</v>
      </c>
    </row>
    <row r="370" spans="2:16" s="348" customFormat="1" x14ac:dyDescent="0.2">
      <c r="B370" s="367"/>
      <c r="C370" s="367"/>
      <c r="D370" s="59"/>
      <c r="E370" s="367"/>
      <c r="F370" s="158"/>
      <c r="G370" s="139"/>
      <c r="H370" s="139"/>
      <c r="I370" s="158"/>
      <c r="J370" s="367"/>
    </row>
    <row r="371" spans="2:16" s="348" customFormat="1" ht="15" x14ac:dyDescent="0.2">
      <c r="B371" s="390" t="s">
        <v>707</v>
      </c>
      <c r="C371" s="389"/>
      <c r="D371" s="389"/>
      <c r="E371" s="389"/>
      <c r="F371" s="389"/>
      <c r="G371" s="389"/>
      <c r="H371" s="389"/>
      <c r="I371" s="389"/>
      <c r="J371" s="389"/>
      <c r="M371" s="126"/>
      <c r="N371" s="126"/>
      <c r="O371" s="126"/>
      <c r="P371" s="126"/>
    </row>
    <row r="372" spans="2:16" s="348" customFormat="1" x14ac:dyDescent="0.2">
      <c r="B372" s="385"/>
      <c r="C372" s="385"/>
      <c r="D372" s="59"/>
      <c r="E372" s="384"/>
      <c r="F372" s="59"/>
      <c r="G372" s="134"/>
      <c r="H372" s="158"/>
      <c r="I372" s="158"/>
      <c r="J372" s="53"/>
      <c r="M372" s="126"/>
      <c r="N372" s="126"/>
      <c r="O372" s="126"/>
      <c r="P372" s="126"/>
    </row>
    <row r="373" spans="2:16" s="348" customFormat="1" ht="36" customHeight="1" x14ac:dyDescent="0.2">
      <c r="B373" s="471" t="s">
        <v>793</v>
      </c>
      <c r="C373" s="471"/>
      <c r="D373" s="59"/>
      <c r="E373" s="405" t="s">
        <v>799</v>
      </c>
      <c r="F373" s="59"/>
      <c r="G373" s="175" t="str">
        <f>IFERROR((Elocal_soil_Time1/(Vsoil_countryside*RHOsoil*k)-(Elocal_soil_Time1/(Vsoil_countryside*RHOsoil*k)*EXP(-TIME1_facade*k))),"??")</f>
        <v>??</v>
      </c>
      <c r="H373" s="158" t="s">
        <v>800</v>
      </c>
      <c r="I373" s="158" t="s">
        <v>7</v>
      </c>
      <c r="J373" s="412" t="s">
        <v>801</v>
      </c>
      <c r="M373" s="126"/>
      <c r="N373" s="126"/>
      <c r="O373" s="126"/>
      <c r="P373" s="126"/>
    </row>
    <row r="374" spans="2:16" s="348" customFormat="1" x14ac:dyDescent="0.2">
      <c r="B374" s="406"/>
      <c r="C374" s="406"/>
      <c r="D374" s="59"/>
      <c r="E374" s="405"/>
      <c r="F374" s="59"/>
      <c r="G374" s="59"/>
      <c r="H374" s="158"/>
      <c r="I374" s="158"/>
      <c r="J374" s="412"/>
      <c r="M374" s="126"/>
      <c r="N374" s="126"/>
      <c r="O374" s="126"/>
      <c r="P374" s="126"/>
    </row>
    <row r="375" spans="2:16" s="348" customFormat="1" ht="32.25" customHeight="1" x14ac:dyDescent="0.2">
      <c r="B375" s="471" t="s">
        <v>708</v>
      </c>
      <c r="C375" s="471"/>
      <c r="D375" s="59"/>
      <c r="E375" s="405" t="s">
        <v>802</v>
      </c>
      <c r="F375" s="59"/>
      <c r="G375" s="175" t="str">
        <f>IFERROR((Elocal_soil_Time2/(Vsoil_countryside*RHOsoil*k)-(Elocal_soil_Time2/(Vsoil_countryside*RHOsoil*k))*EXP(-TIME2_facade*k)),"??")</f>
        <v>??</v>
      </c>
      <c r="H375" s="158" t="s">
        <v>800</v>
      </c>
      <c r="I375" s="158" t="s">
        <v>7</v>
      </c>
      <c r="J375" s="412" t="s">
        <v>803</v>
      </c>
      <c r="M375" s="126"/>
      <c r="N375" s="126"/>
      <c r="O375" s="126"/>
      <c r="P375" s="126"/>
    </row>
    <row r="376" spans="2:16" s="348" customFormat="1" x14ac:dyDescent="0.2">
      <c r="B376" s="406"/>
      <c r="C376" s="406"/>
      <c r="D376" s="59"/>
      <c r="E376" s="405"/>
      <c r="F376" s="59"/>
      <c r="G376" s="59"/>
      <c r="H376" s="158"/>
      <c r="I376" s="158"/>
      <c r="J376" s="412"/>
      <c r="M376" s="126"/>
      <c r="N376" s="126"/>
      <c r="O376" s="126"/>
      <c r="P376" s="126"/>
    </row>
    <row r="377" spans="2:16" s="348" customFormat="1" ht="35.25" customHeight="1" x14ac:dyDescent="0.2">
      <c r="B377" s="471" t="s">
        <v>794</v>
      </c>
      <c r="C377" s="471"/>
      <c r="D377" s="59"/>
      <c r="E377" s="405" t="s">
        <v>804</v>
      </c>
      <c r="F377" s="59"/>
      <c r="G377" s="175" t="str">
        <f>IFERROR((Elocal_soil_Time3/(Vsoil_countryside*RHOsoil*k)-(Elocal_soil_Time3/(Vsoil_countryside*RHOsoil*k))*EXP(-TIME3_facade*k)),"??")</f>
        <v>??</v>
      </c>
      <c r="H377" s="158" t="s">
        <v>800</v>
      </c>
      <c r="I377" s="158" t="s">
        <v>7</v>
      </c>
      <c r="J377" s="412" t="s">
        <v>805</v>
      </c>
      <c r="M377" s="126"/>
      <c r="N377" s="126"/>
      <c r="O377" s="126"/>
      <c r="P377" s="126"/>
    </row>
    <row r="378" spans="2:16" s="348" customFormat="1" x14ac:dyDescent="0.2">
      <c r="B378" s="406"/>
      <c r="C378" s="406"/>
      <c r="D378" s="59"/>
      <c r="E378" s="405"/>
      <c r="F378" s="59"/>
      <c r="G378" s="59"/>
      <c r="H378" s="158"/>
      <c r="I378" s="158"/>
      <c r="J378" s="412"/>
      <c r="M378" s="126"/>
      <c r="N378" s="126"/>
      <c r="O378" s="126"/>
      <c r="P378" s="126"/>
    </row>
    <row r="379" spans="2:16" s="348" customFormat="1" ht="28.5" customHeight="1" x14ac:dyDescent="0.2">
      <c r="B379" s="471" t="s">
        <v>709</v>
      </c>
      <c r="C379" s="471"/>
      <c r="D379" s="59"/>
      <c r="E379" s="405" t="s">
        <v>806</v>
      </c>
      <c r="F379" s="59"/>
      <c r="G379" s="175" t="str">
        <f>IFERROR(G373*RHOsoil*0.001/Ksoil_water,"??")</f>
        <v>??</v>
      </c>
      <c r="H379" s="158" t="s">
        <v>812</v>
      </c>
      <c r="I379" s="158" t="s">
        <v>7</v>
      </c>
      <c r="J379" s="412" t="s">
        <v>807</v>
      </c>
      <c r="M379" s="126"/>
      <c r="N379" s="126"/>
      <c r="O379" s="126"/>
      <c r="P379" s="126"/>
    </row>
    <row r="380" spans="2:16" s="348" customFormat="1" x14ac:dyDescent="0.2">
      <c r="B380" s="406"/>
      <c r="C380" s="406"/>
      <c r="D380" s="59"/>
      <c r="E380" s="405"/>
      <c r="F380" s="59"/>
      <c r="G380" s="59"/>
      <c r="H380" s="158"/>
      <c r="I380" s="158"/>
      <c r="J380" s="412"/>
      <c r="M380" s="126"/>
      <c r="N380" s="126"/>
      <c r="O380" s="126"/>
      <c r="P380" s="126"/>
    </row>
    <row r="381" spans="2:16" s="348" customFormat="1" ht="29.25" customHeight="1" x14ac:dyDescent="0.2">
      <c r="B381" s="471" t="s">
        <v>710</v>
      </c>
      <c r="C381" s="471"/>
      <c r="D381" s="59"/>
      <c r="E381" s="405" t="s">
        <v>808</v>
      </c>
      <c r="F381" s="59"/>
      <c r="G381" s="175" t="str">
        <f>IFERROR(G375*RHOsoil*0.001/Ksoil_water,"??")</f>
        <v>??</v>
      </c>
      <c r="H381" s="158" t="s">
        <v>812</v>
      </c>
      <c r="I381" s="158" t="s">
        <v>7</v>
      </c>
      <c r="J381" s="412" t="s">
        <v>809</v>
      </c>
      <c r="M381" s="126"/>
      <c r="N381" s="126"/>
      <c r="O381" s="126"/>
      <c r="P381" s="126"/>
    </row>
    <row r="382" spans="2:16" s="348" customFormat="1" x14ac:dyDescent="0.2">
      <c r="B382" s="406"/>
      <c r="C382" s="406"/>
      <c r="D382" s="59"/>
      <c r="E382" s="405"/>
      <c r="F382" s="59"/>
      <c r="G382" s="59"/>
      <c r="H382" s="158"/>
      <c r="I382" s="158"/>
      <c r="J382" s="412"/>
      <c r="M382" s="126"/>
      <c r="N382" s="126"/>
      <c r="O382" s="126"/>
      <c r="P382" s="126"/>
    </row>
    <row r="383" spans="2:16" s="348" customFormat="1" ht="15" x14ac:dyDescent="0.2">
      <c r="B383" s="471" t="s">
        <v>711</v>
      </c>
      <c r="C383" s="471"/>
      <c r="D383" s="59"/>
      <c r="E383" s="405" t="s">
        <v>810</v>
      </c>
      <c r="F383" s="59"/>
      <c r="G383" s="175" t="str">
        <f>IFERROR(G377*RHOsoil*0.001/Ksoil_water,"??")</f>
        <v>??</v>
      </c>
      <c r="H383" s="158" t="s">
        <v>812</v>
      </c>
      <c r="I383" s="158" t="s">
        <v>7</v>
      </c>
      <c r="J383" s="412" t="s">
        <v>811</v>
      </c>
      <c r="M383" s="126"/>
      <c r="N383" s="126"/>
      <c r="O383" s="126"/>
      <c r="P383" s="126"/>
    </row>
    <row r="384" spans="2:16" s="348" customFormat="1" x14ac:dyDescent="0.2">
      <c r="B384" s="391"/>
      <c r="C384" s="391"/>
      <c r="D384" s="59"/>
      <c r="E384" s="384"/>
      <c r="F384" s="59"/>
      <c r="G384" s="134"/>
      <c r="H384" s="158"/>
      <c r="I384" s="158"/>
      <c r="J384" s="53"/>
      <c r="M384" s="126"/>
      <c r="N384" s="126"/>
      <c r="O384" s="126"/>
      <c r="P384" s="126"/>
    </row>
    <row r="385" spans="1:101" s="121" customFormat="1" x14ac:dyDescent="0.2">
      <c r="B385" s="143" t="s">
        <v>10</v>
      </c>
      <c r="J385" s="146"/>
    </row>
    <row r="386" spans="1:101" s="121" customFormat="1" x14ac:dyDescent="0.2">
      <c r="B386" s="143"/>
      <c r="J386" s="146"/>
    </row>
    <row r="387" spans="1:101" s="121" customFormat="1" x14ac:dyDescent="0.2">
      <c r="B387" s="255" t="s">
        <v>422</v>
      </c>
      <c r="J387" s="146"/>
    </row>
    <row r="388" spans="1:101" s="121" customFormat="1" x14ac:dyDescent="0.2">
      <c r="J388" s="146"/>
    </row>
    <row r="389" spans="1:101" s="121" customFormat="1" x14ac:dyDescent="0.2">
      <c r="J389" s="146"/>
    </row>
    <row r="390" spans="1:101" s="121" customFormat="1" ht="35.25" customHeight="1" x14ac:dyDescent="0.2">
      <c r="A390" s="119"/>
      <c r="B390" s="437" t="s">
        <v>586</v>
      </c>
      <c r="C390" s="437"/>
      <c r="D390" s="437"/>
      <c r="E390" s="437"/>
      <c r="F390" s="437"/>
      <c r="G390" s="437"/>
      <c r="H390" s="437"/>
      <c r="I390" s="437"/>
      <c r="J390" s="437"/>
      <c r="BG390" s="122"/>
      <c r="BH390" s="122"/>
    </row>
    <row r="391" spans="1:101" s="121" customFormat="1" ht="3" customHeight="1" x14ac:dyDescent="0.2">
      <c r="A391" s="119"/>
      <c r="B391" s="119"/>
      <c r="C391" s="119"/>
      <c r="D391" s="119"/>
      <c r="E391" s="119"/>
      <c r="F391" s="119"/>
      <c r="G391" s="119"/>
      <c r="H391" s="120"/>
      <c r="I391" s="119"/>
      <c r="J391" s="119"/>
      <c r="BG391" s="122"/>
      <c r="BH391" s="122"/>
    </row>
    <row r="392" spans="1:101" s="121" customFormat="1" x14ac:dyDescent="0.2">
      <c r="B392" s="129" t="s">
        <v>8</v>
      </c>
      <c r="C392" s="128"/>
      <c r="D392" s="128"/>
      <c r="E392" s="128"/>
      <c r="F392" s="128"/>
      <c r="G392" s="128"/>
      <c r="H392" s="128"/>
      <c r="I392" s="128"/>
      <c r="J392" s="64"/>
      <c r="BN392" s="122"/>
      <c r="BO392" s="122"/>
      <c r="BP392" s="122"/>
      <c r="BQ392" s="122"/>
      <c r="BR392" s="122"/>
      <c r="BS392" s="122"/>
      <c r="BT392" s="122"/>
      <c r="BU392" s="122"/>
      <c r="BV392" s="122"/>
      <c r="BW392" s="122"/>
      <c r="BX392" s="122"/>
      <c r="BY392" s="122"/>
      <c r="BZ392" s="122"/>
      <c r="CA392" s="122"/>
      <c r="CB392" s="122"/>
      <c r="CC392" s="122"/>
      <c r="CD392" s="122"/>
      <c r="CE392" s="122"/>
      <c r="CF392" s="122"/>
      <c r="CG392" s="122"/>
      <c r="CH392" s="122"/>
      <c r="CI392" s="122"/>
      <c r="CJ392" s="122"/>
      <c r="CK392" s="122"/>
      <c r="CL392" s="122"/>
      <c r="CM392" s="122"/>
      <c r="CN392" s="122"/>
      <c r="CO392" s="122"/>
      <c r="CP392" s="122"/>
      <c r="CQ392" s="122"/>
      <c r="CR392" s="122"/>
      <c r="CS392" s="122"/>
      <c r="CT392" s="122"/>
      <c r="CU392" s="122"/>
      <c r="CV392" s="122"/>
      <c r="CW392" s="122"/>
    </row>
    <row r="393" spans="1:101" s="121" customFormat="1" x14ac:dyDescent="0.2">
      <c r="B393" s="449" t="s">
        <v>285</v>
      </c>
      <c r="C393" s="449"/>
      <c r="D393" s="449"/>
      <c r="E393" s="449"/>
      <c r="F393" s="449"/>
      <c r="G393" s="449"/>
      <c r="H393" s="449"/>
      <c r="I393" s="449"/>
      <c r="J393" s="449"/>
    </row>
    <row r="394" spans="1:101" s="121" customFormat="1" x14ac:dyDescent="0.2">
      <c r="B394" s="449" t="s">
        <v>250</v>
      </c>
      <c r="C394" s="449"/>
      <c r="D394" s="449"/>
      <c r="E394" s="449"/>
      <c r="F394" s="449"/>
      <c r="G394" s="449"/>
      <c r="H394" s="449"/>
      <c r="I394" s="449"/>
      <c r="J394" s="449"/>
    </row>
    <row r="395" spans="1:101" s="121" customFormat="1" ht="3" customHeight="1" x14ac:dyDescent="0.2">
      <c r="B395" s="145"/>
      <c r="J395" s="146"/>
    </row>
    <row r="396" spans="1:101" s="121" customFormat="1" ht="15" x14ac:dyDescent="0.2">
      <c r="B396" s="131" t="s">
        <v>0</v>
      </c>
      <c r="C396" s="132"/>
      <c r="D396" s="132"/>
      <c r="E396" s="132"/>
      <c r="F396" s="132"/>
      <c r="G396" s="132"/>
      <c r="H396" s="132"/>
      <c r="I396" s="132"/>
      <c r="J396" s="133"/>
    </row>
    <row r="397" spans="1:101" s="121" customFormat="1" ht="3" customHeight="1" x14ac:dyDescent="0.2">
      <c r="B397" s="134"/>
      <c r="C397" s="134"/>
      <c r="D397" s="134"/>
      <c r="E397" s="134"/>
      <c r="F397" s="134"/>
      <c r="G397" s="134"/>
      <c r="H397" s="134"/>
      <c r="I397" s="134"/>
      <c r="J397" s="238"/>
    </row>
    <row r="398" spans="1:101" s="121" customFormat="1" ht="15.75" customHeight="1" x14ac:dyDescent="0.2">
      <c r="B398" s="136" t="s">
        <v>2</v>
      </c>
      <c r="C398" s="136"/>
      <c r="D398" s="136"/>
      <c r="E398" s="137" t="s">
        <v>4</v>
      </c>
      <c r="F398" s="138"/>
      <c r="G398" s="138" t="s">
        <v>6</v>
      </c>
      <c r="H398" s="138" t="s">
        <v>3</v>
      </c>
      <c r="I398" s="138" t="s">
        <v>9</v>
      </c>
      <c r="J398" s="137" t="s">
        <v>15</v>
      </c>
    </row>
    <row r="399" spans="1:101" s="121" customFormat="1" ht="3" customHeight="1" x14ac:dyDescent="0.2">
      <c r="B399" s="134"/>
      <c r="C399" s="134"/>
      <c r="D399" s="134"/>
      <c r="E399" s="134"/>
      <c r="F399" s="134"/>
      <c r="G399" s="134"/>
      <c r="H399" s="134"/>
      <c r="I399" s="134"/>
      <c r="J399" s="238"/>
    </row>
    <row r="400" spans="1:101" s="121" customFormat="1" ht="15" x14ac:dyDescent="0.2">
      <c r="B400" s="431" t="s">
        <v>664</v>
      </c>
      <c r="C400" s="431"/>
      <c r="D400" s="134"/>
      <c r="E400" s="134" t="s">
        <v>280</v>
      </c>
      <c r="F400" s="134"/>
      <c r="G400" s="139">
        <v>10</v>
      </c>
      <c r="H400" s="139" t="s">
        <v>73</v>
      </c>
      <c r="I400" s="148" t="str">
        <f>IF(AREA_bridge=10, "D", "S")</f>
        <v>D</v>
      </c>
      <c r="J400" s="238"/>
    </row>
    <row r="401" spans="2:10" s="121" customFormat="1" ht="3" customHeight="1" x14ac:dyDescent="0.2">
      <c r="B401" s="134"/>
      <c r="C401" s="134"/>
      <c r="D401" s="134"/>
      <c r="E401" s="134"/>
      <c r="F401" s="134"/>
      <c r="G401" s="134"/>
      <c r="H401" s="134"/>
      <c r="I401" s="134"/>
      <c r="J401" s="238"/>
    </row>
    <row r="402" spans="2:10" s="121" customFormat="1" x14ac:dyDescent="0.2">
      <c r="B402" s="431" t="s">
        <v>264</v>
      </c>
      <c r="C402" s="431"/>
      <c r="D402" s="134"/>
      <c r="E402" s="134" t="s">
        <v>265</v>
      </c>
      <c r="F402" s="134"/>
      <c r="G402" s="139">
        <v>30</v>
      </c>
      <c r="H402" s="139" t="s">
        <v>20</v>
      </c>
      <c r="I402" s="148" t="str">
        <f>IF(TIME1_bridge=30, "D", "S")</f>
        <v>D</v>
      </c>
      <c r="J402" s="238"/>
    </row>
    <row r="403" spans="2:10" s="348" customFormat="1" ht="3" customHeight="1" x14ac:dyDescent="0.2">
      <c r="B403" s="387"/>
      <c r="C403" s="387"/>
      <c r="D403" s="134"/>
      <c r="E403" s="134"/>
      <c r="F403" s="134"/>
      <c r="G403" s="139"/>
      <c r="H403" s="139"/>
      <c r="I403" s="148"/>
      <c r="J403" s="386"/>
    </row>
    <row r="404" spans="2:10" s="348" customFormat="1" x14ac:dyDescent="0.2">
      <c r="B404" s="460" t="s">
        <v>677</v>
      </c>
      <c r="C404" s="460"/>
      <c r="D404" s="59"/>
      <c r="E404" s="53" t="s">
        <v>267</v>
      </c>
      <c r="F404" s="59"/>
      <c r="G404" s="158">
        <v>365</v>
      </c>
      <c r="H404" s="158" t="s">
        <v>20</v>
      </c>
      <c r="I404" s="63" t="s">
        <v>17</v>
      </c>
      <c r="J404" s="386"/>
    </row>
    <row r="405" spans="2:10" s="121" customFormat="1" ht="3" customHeight="1" x14ac:dyDescent="0.2">
      <c r="B405" s="134"/>
      <c r="C405" s="134"/>
      <c r="D405" s="134"/>
      <c r="E405" s="134"/>
      <c r="F405" s="134"/>
      <c r="G405" s="134"/>
      <c r="H405" s="134"/>
      <c r="I405" s="134"/>
      <c r="J405" s="238"/>
    </row>
    <row r="406" spans="2:10" s="121" customFormat="1" x14ac:dyDescent="0.2">
      <c r="B406" s="426" t="s">
        <v>266</v>
      </c>
      <c r="C406" s="426"/>
      <c r="D406" s="134"/>
      <c r="E406" s="236" t="s">
        <v>678</v>
      </c>
      <c r="F406" s="134"/>
      <c r="G406" s="139">
        <v>1825</v>
      </c>
      <c r="H406" s="139" t="s">
        <v>20</v>
      </c>
      <c r="I406" s="148" t="str">
        <f>IF(TIME2_bridge=1825, "D", "S")</f>
        <v>S</v>
      </c>
      <c r="J406" s="238"/>
    </row>
    <row r="407" spans="2:10" s="121" customFormat="1" ht="3" customHeight="1" x14ac:dyDescent="0.2">
      <c r="B407" s="134"/>
      <c r="C407" s="134"/>
      <c r="D407" s="134"/>
      <c r="E407" s="236"/>
      <c r="F407" s="134"/>
      <c r="G407" s="139"/>
      <c r="H407" s="139"/>
      <c r="I407" s="139"/>
      <c r="J407" s="238"/>
    </row>
    <row r="408" spans="2:10" s="121" customFormat="1" ht="27" customHeight="1" x14ac:dyDescent="0.2">
      <c r="B408" s="431" t="s">
        <v>268</v>
      </c>
      <c r="C408" s="431"/>
      <c r="D408" s="134"/>
      <c r="E408" s="236" t="s">
        <v>658</v>
      </c>
      <c r="F408" s="134"/>
      <c r="G408" s="141"/>
      <c r="H408" s="139" t="s">
        <v>255</v>
      </c>
      <c r="I408" s="148" t="s">
        <v>18</v>
      </c>
      <c r="J408" s="233"/>
    </row>
    <row r="409" spans="2:10" s="348" customFormat="1" ht="3" customHeight="1" x14ac:dyDescent="0.2">
      <c r="B409" s="387"/>
      <c r="C409" s="387"/>
      <c r="D409" s="134"/>
      <c r="E409" s="388"/>
      <c r="F409" s="134"/>
      <c r="G409" s="139"/>
      <c r="H409" s="139"/>
      <c r="I409" s="148"/>
      <c r="J409" s="387"/>
    </row>
    <row r="410" spans="2:10" s="348" customFormat="1" ht="27" customHeight="1" x14ac:dyDescent="0.2">
      <c r="B410" s="431" t="s">
        <v>681</v>
      </c>
      <c r="C410" s="431"/>
      <c r="D410" s="134"/>
      <c r="E410" s="388" t="s">
        <v>659</v>
      </c>
      <c r="F410" s="134"/>
      <c r="G410" s="354"/>
      <c r="H410" s="139" t="s">
        <v>255</v>
      </c>
      <c r="I410" s="148" t="s">
        <v>18</v>
      </c>
      <c r="J410" s="387"/>
    </row>
    <row r="411" spans="2:10" s="121" customFormat="1" ht="3" customHeight="1" x14ac:dyDescent="0.2">
      <c r="B411" s="134"/>
      <c r="C411" s="134"/>
      <c r="D411" s="134"/>
      <c r="E411" s="236"/>
      <c r="F411" s="134"/>
      <c r="G411" s="139"/>
      <c r="H411" s="139"/>
      <c r="I411" s="139"/>
      <c r="J411" s="238"/>
    </row>
    <row r="412" spans="2:10" s="121" customFormat="1" ht="24.75" customHeight="1" x14ac:dyDescent="0.2">
      <c r="B412" s="431" t="s">
        <v>269</v>
      </c>
      <c r="C412" s="431"/>
      <c r="D412" s="134"/>
      <c r="E412" s="236" t="s">
        <v>712</v>
      </c>
      <c r="F412" s="134"/>
      <c r="G412" s="141"/>
      <c r="H412" s="139" t="s">
        <v>255</v>
      </c>
      <c r="I412" s="148" t="s">
        <v>18</v>
      </c>
      <c r="J412" s="238"/>
    </row>
    <row r="413" spans="2:10" s="121" customFormat="1" ht="3" customHeight="1" x14ac:dyDescent="0.2">
      <c r="B413" s="134"/>
      <c r="C413" s="134"/>
      <c r="D413" s="134"/>
      <c r="E413" s="236"/>
      <c r="F413" s="134"/>
      <c r="G413" s="139"/>
      <c r="H413" s="139"/>
      <c r="I413" s="139"/>
      <c r="J413" s="238"/>
    </row>
    <row r="414" spans="2:10" s="121" customFormat="1" ht="15" x14ac:dyDescent="0.2">
      <c r="B414" s="134" t="s">
        <v>587</v>
      </c>
      <c r="C414" s="134"/>
      <c r="D414" s="134"/>
      <c r="E414" s="236" t="s">
        <v>279</v>
      </c>
      <c r="F414" s="134"/>
      <c r="G414" s="139">
        <v>1000</v>
      </c>
      <c r="H414" s="139" t="s">
        <v>21</v>
      </c>
      <c r="I414" s="148" t="str">
        <f>IF(Vwater=1000, "D", "S")</f>
        <v>D</v>
      </c>
      <c r="J414" s="238"/>
    </row>
    <row r="415" spans="2:10" s="121" customFormat="1" x14ac:dyDescent="0.2">
      <c r="B415" s="134"/>
      <c r="C415" s="134"/>
      <c r="D415" s="134"/>
      <c r="E415" s="134"/>
      <c r="F415" s="134"/>
      <c r="G415" s="134"/>
      <c r="H415" s="134"/>
      <c r="I415" s="134"/>
      <c r="J415" s="238"/>
    </row>
    <row r="416" spans="2:10" s="121" customFormat="1" ht="15" x14ac:dyDescent="0.2">
      <c r="B416" s="131" t="s">
        <v>1</v>
      </c>
      <c r="C416" s="132"/>
      <c r="D416" s="132"/>
      <c r="E416" s="132"/>
      <c r="F416" s="132"/>
      <c r="G416" s="132"/>
      <c r="H416" s="132"/>
      <c r="I416" s="132"/>
      <c r="J416" s="133"/>
    </row>
    <row r="417" spans="2:11" s="121" customFormat="1" ht="3" customHeight="1" x14ac:dyDescent="0.2">
      <c r="B417" s="134"/>
      <c r="C417" s="134"/>
      <c r="D417" s="134"/>
      <c r="E417" s="134"/>
      <c r="F417" s="134"/>
      <c r="G417" s="134"/>
      <c r="H417" s="134"/>
      <c r="I417" s="134"/>
      <c r="J417" s="238"/>
    </row>
    <row r="418" spans="2:11" s="121" customFormat="1" ht="15" x14ac:dyDescent="0.2">
      <c r="B418" s="136" t="s">
        <v>2</v>
      </c>
      <c r="C418" s="136"/>
      <c r="D418" s="136"/>
      <c r="E418" s="137" t="s">
        <v>4</v>
      </c>
      <c r="F418" s="138"/>
      <c r="G418" s="138" t="s">
        <v>6</v>
      </c>
      <c r="H418" s="138" t="s">
        <v>3</v>
      </c>
      <c r="I418" s="138" t="s">
        <v>9</v>
      </c>
      <c r="J418" s="137" t="s">
        <v>15</v>
      </c>
    </row>
    <row r="419" spans="2:11" s="348" customFormat="1" ht="3" customHeight="1" x14ac:dyDescent="0.2">
      <c r="B419" s="136"/>
      <c r="C419" s="136"/>
      <c r="D419" s="136"/>
      <c r="E419" s="137"/>
      <c r="F419" s="138"/>
      <c r="G419" s="138"/>
      <c r="H419" s="138"/>
      <c r="I419" s="138"/>
      <c r="J419" s="137"/>
    </row>
    <row r="420" spans="2:11" s="348" customFormat="1" ht="24" customHeight="1" x14ac:dyDescent="0.2">
      <c r="B420" s="460" t="s">
        <v>813</v>
      </c>
      <c r="C420" s="460"/>
      <c r="D420" s="59"/>
      <c r="E420" s="407" t="s">
        <v>816</v>
      </c>
      <c r="F420" s="158"/>
      <c r="G420" s="175" t="str">
        <f>IF(ISNUMBER(Qleach_time1_bridge),Qleach_time1_bridge*AREA_bridge/TIME1_bridge,"??")</f>
        <v>??</v>
      </c>
      <c r="H420" s="158" t="s">
        <v>78</v>
      </c>
      <c r="I420" s="158" t="s">
        <v>7</v>
      </c>
      <c r="J420" s="407" t="s">
        <v>817</v>
      </c>
      <c r="K420" s="370"/>
    </row>
    <row r="421" spans="2:11" s="348" customFormat="1" ht="3" customHeight="1" x14ac:dyDescent="0.2">
      <c r="B421" s="407"/>
      <c r="C421" s="407"/>
      <c r="D421" s="59"/>
      <c r="E421" s="407"/>
      <c r="F421" s="158"/>
      <c r="G421" s="158"/>
      <c r="H421" s="158"/>
      <c r="I421" s="158"/>
      <c r="J421" s="407"/>
      <c r="K421" s="370"/>
    </row>
    <row r="422" spans="2:11" s="348" customFormat="1" ht="28.5" customHeight="1" x14ac:dyDescent="0.2">
      <c r="B422" s="460" t="s">
        <v>814</v>
      </c>
      <c r="C422" s="460"/>
      <c r="D422" s="59"/>
      <c r="E422" s="407" t="s">
        <v>818</v>
      </c>
      <c r="F422" s="158"/>
      <c r="G422" s="175" t="str">
        <f>IF(ISNUMBER(Qleach_time2_bridge),Qleach_time2_bridge*AREA_bridge/TIME2_bridge,"??")</f>
        <v>??</v>
      </c>
      <c r="H422" s="158" t="s">
        <v>78</v>
      </c>
      <c r="I422" s="158" t="s">
        <v>7</v>
      </c>
      <c r="J422" s="407" t="s">
        <v>819</v>
      </c>
      <c r="K422" s="370"/>
    </row>
    <row r="423" spans="2:11" s="348" customFormat="1" ht="3" customHeight="1" x14ac:dyDescent="0.2">
      <c r="B423" s="407"/>
      <c r="C423" s="407"/>
      <c r="D423" s="59"/>
      <c r="E423" s="407"/>
      <c r="F423" s="158"/>
      <c r="G423" s="158"/>
      <c r="H423" s="158"/>
      <c r="I423" s="158"/>
      <c r="J423" s="407"/>
      <c r="K423" s="370"/>
    </row>
    <row r="424" spans="2:11" s="348" customFormat="1" ht="27.75" customHeight="1" x14ac:dyDescent="0.2">
      <c r="B424" s="460" t="s">
        <v>815</v>
      </c>
      <c r="C424" s="460"/>
      <c r="D424" s="59"/>
      <c r="E424" s="407" t="s">
        <v>820</v>
      </c>
      <c r="F424" s="158"/>
      <c r="G424" s="175" t="str">
        <f>IF(ISNUMBER(Qleach_time3_bridge),Qleach_time3_bridge*AREA_bridge/TIME3_bridge,"??")</f>
        <v>??</v>
      </c>
      <c r="H424" s="158" t="s">
        <v>78</v>
      </c>
      <c r="I424" s="158" t="s">
        <v>7</v>
      </c>
      <c r="J424" s="407" t="s">
        <v>821</v>
      </c>
    </row>
    <row r="425" spans="2:11" s="121" customFormat="1" ht="3" customHeight="1" x14ac:dyDescent="0.2">
      <c r="B425" s="413"/>
      <c r="C425" s="413"/>
      <c r="D425" s="413"/>
      <c r="E425" s="414"/>
      <c r="F425" s="415"/>
      <c r="G425" s="415"/>
      <c r="H425" s="415"/>
      <c r="I425" s="415"/>
      <c r="J425" s="414"/>
    </row>
    <row r="426" spans="2:11" s="121" customFormat="1" ht="25.5" customHeight="1" x14ac:dyDescent="0.2">
      <c r="B426" s="460" t="s">
        <v>281</v>
      </c>
      <c r="C426" s="460"/>
      <c r="D426" s="59"/>
      <c r="E426" s="407" t="s">
        <v>273</v>
      </c>
      <c r="F426" s="59"/>
      <c r="G426" s="175" t="str">
        <f>IF(ISNUMBER(Qleach_time1_bridge),Qleach_time1_bridge*AREA_bridge/Vwater,"??")</f>
        <v>??</v>
      </c>
      <c r="H426" s="158" t="s">
        <v>822</v>
      </c>
      <c r="I426" s="158" t="s">
        <v>7</v>
      </c>
      <c r="J426" s="407" t="s">
        <v>660</v>
      </c>
    </row>
    <row r="427" spans="2:11" s="348" customFormat="1" ht="3" customHeight="1" x14ac:dyDescent="0.2">
      <c r="B427" s="407"/>
      <c r="C427" s="407"/>
      <c r="D427" s="59"/>
      <c r="E427" s="407"/>
      <c r="F427" s="59"/>
      <c r="G427" s="175"/>
      <c r="H427" s="158"/>
      <c r="I427" s="158"/>
      <c r="J427" s="407"/>
    </row>
    <row r="428" spans="2:11" s="348" customFormat="1" ht="28.5" customHeight="1" x14ac:dyDescent="0.2">
      <c r="B428" s="460" t="s">
        <v>713</v>
      </c>
      <c r="C428" s="460"/>
      <c r="D428" s="59"/>
      <c r="E428" s="407" t="s">
        <v>274</v>
      </c>
      <c r="F428" s="158"/>
      <c r="G428" s="175" t="str">
        <f>IF(ISNUMBER(Qleach_time2_bridge),Qleach_time2_bridge*AREA_bridge/Vwater,"??")</f>
        <v>??</v>
      </c>
      <c r="H428" s="158" t="s">
        <v>822</v>
      </c>
      <c r="I428" s="158" t="s">
        <v>7</v>
      </c>
      <c r="J428" s="407" t="s">
        <v>283</v>
      </c>
    </row>
    <row r="429" spans="2:11" s="121" customFormat="1" ht="3" customHeight="1" x14ac:dyDescent="0.2">
      <c r="B429" s="59"/>
      <c r="C429" s="59"/>
      <c r="D429" s="59"/>
      <c r="E429" s="53"/>
      <c r="F429" s="158"/>
      <c r="G429" s="158"/>
      <c r="H429" s="158"/>
      <c r="I429" s="158"/>
      <c r="J429" s="53"/>
    </row>
    <row r="430" spans="2:11" s="121" customFormat="1" ht="28.5" customHeight="1" x14ac:dyDescent="0.2">
      <c r="B430" s="460" t="s">
        <v>282</v>
      </c>
      <c r="C430" s="460"/>
      <c r="D430" s="59"/>
      <c r="E430" s="407" t="s">
        <v>714</v>
      </c>
      <c r="F430" s="158"/>
      <c r="G430" s="175" t="str">
        <f>IF(ISNUMBER(Qleach_time3_bridge),Qleach_time3_bridge*AREA_bridge/Vwater,"??")</f>
        <v>??</v>
      </c>
      <c r="H430" s="158" t="s">
        <v>822</v>
      </c>
      <c r="I430" s="158" t="s">
        <v>7</v>
      </c>
      <c r="J430" s="407" t="s">
        <v>715</v>
      </c>
    </row>
    <row r="431" spans="2:11" s="348" customFormat="1" x14ac:dyDescent="0.2">
      <c r="B431" s="367"/>
      <c r="C431" s="367"/>
      <c r="D431" s="59"/>
      <c r="E431" s="367"/>
      <c r="F431" s="158"/>
      <c r="G431" s="158"/>
      <c r="H431" s="139"/>
      <c r="I431" s="158"/>
      <c r="J431" s="367"/>
    </row>
    <row r="432" spans="2:11" s="121" customFormat="1" x14ac:dyDescent="0.2">
      <c r="B432" s="143" t="s">
        <v>10</v>
      </c>
      <c r="J432" s="146"/>
    </row>
    <row r="433" spans="2:10" s="121" customFormat="1" x14ac:dyDescent="0.2">
      <c r="B433" s="143"/>
      <c r="J433" s="146"/>
    </row>
    <row r="434" spans="2:10" s="121" customFormat="1" x14ac:dyDescent="0.2">
      <c r="B434" s="255" t="s">
        <v>422</v>
      </c>
      <c r="J434" s="146"/>
    </row>
    <row r="435" spans="2:10" s="121" customFormat="1" x14ac:dyDescent="0.2">
      <c r="J435" s="146"/>
    </row>
    <row r="436" spans="2:10" s="121" customFormat="1" x14ac:dyDescent="0.2">
      <c r="J436" s="146"/>
    </row>
    <row r="437" spans="2:10" s="121" customFormat="1" x14ac:dyDescent="0.2">
      <c r="J437" s="146"/>
    </row>
    <row r="438" spans="2:10" s="121" customFormat="1" x14ac:dyDescent="0.2">
      <c r="J438" s="146"/>
    </row>
    <row r="439" spans="2:10" s="121" customFormat="1" x14ac:dyDescent="0.2">
      <c r="J439" s="146"/>
    </row>
    <row r="440" spans="2:10" s="121" customFormat="1" x14ac:dyDescent="0.2">
      <c r="J440" s="146"/>
    </row>
    <row r="441" spans="2:10" s="121" customFormat="1" x14ac:dyDescent="0.2">
      <c r="J441" s="146"/>
    </row>
    <row r="442" spans="2:10" s="121" customFormat="1" x14ac:dyDescent="0.2">
      <c r="J442" s="146"/>
    </row>
    <row r="443" spans="2:10" s="121" customFormat="1" x14ac:dyDescent="0.2">
      <c r="J443" s="146"/>
    </row>
    <row r="444" spans="2:10" s="121" customFormat="1" x14ac:dyDescent="0.2">
      <c r="J444" s="146"/>
    </row>
    <row r="445" spans="2:10" s="121" customFormat="1" x14ac:dyDescent="0.2">
      <c r="J445" s="146"/>
    </row>
    <row r="446" spans="2:10" s="121" customFormat="1" x14ac:dyDescent="0.2">
      <c r="J446" s="146"/>
    </row>
    <row r="447" spans="2:10" s="121" customFormat="1" x14ac:dyDescent="0.2">
      <c r="J447" s="146"/>
    </row>
    <row r="448" spans="2:10" s="121" customFormat="1" x14ac:dyDescent="0.2">
      <c r="J448" s="146"/>
    </row>
    <row r="449" spans="10:10" s="121" customFormat="1" x14ac:dyDescent="0.2">
      <c r="J449" s="146"/>
    </row>
    <row r="450" spans="10:10" s="121" customFormat="1" x14ac:dyDescent="0.2">
      <c r="J450" s="146"/>
    </row>
    <row r="451" spans="10:10" s="121" customFormat="1" x14ac:dyDescent="0.2">
      <c r="J451" s="146"/>
    </row>
    <row r="452" spans="10:10" s="121" customFormat="1" x14ac:dyDescent="0.2">
      <c r="J452" s="146"/>
    </row>
    <row r="453" spans="10:10" s="121" customFormat="1" x14ac:dyDescent="0.2">
      <c r="J453" s="146"/>
    </row>
    <row r="454" spans="10:10" s="121" customFormat="1" x14ac:dyDescent="0.2">
      <c r="J454" s="146"/>
    </row>
    <row r="455" spans="10:10" s="121" customFormat="1" x14ac:dyDescent="0.2">
      <c r="J455" s="146"/>
    </row>
    <row r="456" spans="10:10" s="121" customFormat="1" x14ac:dyDescent="0.2">
      <c r="J456" s="146"/>
    </row>
    <row r="457" spans="10:10" s="121" customFormat="1" x14ac:dyDescent="0.2">
      <c r="J457" s="146"/>
    </row>
    <row r="458" spans="10:10" s="121" customFormat="1" x14ac:dyDescent="0.2">
      <c r="J458" s="146"/>
    </row>
    <row r="459" spans="10:10" s="121" customFormat="1" x14ac:dyDescent="0.2">
      <c r="J459" s="146"/>
    </row>
    <row r="460" spans="10:10" s="121" customFormat="1" x14ac:dyDescent="0.2">
      <c r="J460" s="146"/>
    </row>
    <row r="461" spans="10:10" s="121" customFormat="1" x14ac:dyDescent="0.2">
      <c r="J461" s="146"/>
    </row>
    <row r="462" spans="10:10" s="121" customFormat="1" x14ac:dyDescent="0.2">
      <c r="J462" s="146"/>
    </row>
    <row r="463" spans="10:10" s="121" customFormat="1" x14ac:dyDescent="0.2">
      <c r="J463" s="146"/>
    </row>
    <row r="464" spans="10:10" s="121" customFormat="1" x14ac:dyDescent="0.2">
      <c r="J464" s="146"/>
    </row>
    <row r="465" spans="10:10" s="121" customFormat="1" x14ac:dyDescent="0.2">
      <c r="J465" s="146"/>
    </row>
    <row r="466" spans="10:10" s="121" customFormat="1" x14ac:dyDescent="0.2">
      <c r="J466" s="146"/>
    </row>
    <row r="467" spans="10:10" s="121" customFormat="1" x14ac:dyDescent="0.2">
      <c r="J467" s="146"/>
    </row>
    <row r="468" spans="10:10" s="121" customFormat="1" x14ac:dyDescent="0.2">
      <c r="J468" s="146"/>
    </row>
    <row r="469" spans="10:10" s="121" customFormat="1" x14ac:dyDescent="0.2">
      <c r="J469" s="146"/>
    </row>
    <row r="470" spans="10:10" s="121" customFormat="1" x14ac:dyDescent="0.2">
      <c r="J470" s="146"/>
    </row>
    <row r="471" spans="10:10" s="121" customFormat="1" x14ac:dyDescent="0.2">
      <c r="J471" s="146"/>
    </row>
    <row r="472" spans="10:10" s="121" customFormat="1" x14ac:dyDescent="0.2">
      <c r="J472" s="146"/>
    </row>
    <row r="473" spans="10:10" s="121" customFormat="1" x14ac:dyDescent="0.2">
      <c r="J473" s="146"/>
    </row>
    <row r="474" spans="10:10" s="121" customFormat="1" x14ac:dyDescent="0.2">
      <c r="J474" s="146"/>
    </row>
    <row r="475" spans="10:10" s="121" customFormat="1" x14ac:dyDescent="0.2">
      <c r="J475" s="146"/>
    </row>
    <row r="476" spans="10:10" s="121" customFormat="1" x14ac:dyDescent="0.2">
      <c r="J476" s="146"/>
    </row>
    <row r="477" spans="10:10" s="121" customFormat="1" x14ac:dyDescent="0.2">
      <c r="J477" s="146"/>
    </row>
    <row r="478" spans="10:10" s="121" customFormat="1" x14ac:dyDescent="0.2">
      <c r="J478" s="146"/>
    </row>
    <row r="479" spans="10:10" s="121" customFormat="1" x14ac:dyDescent="0.2">
      <c r="J479" s="146"/>
    </row>
    <row r="480" spans="10:10" s="121" customFormat="1" x14ac:dyDescent="0.2">
      <c r="J480" s="146"/>
    </row>
    <row r="481" spans="10:10" s="121" customFormat="1" x14ac:dyDescent="0.2">
      <c r="J481" s="146"/>
    </row>
    <row r="482" spans="10:10" s="121" customFormat="1" x14ac:dyDescent="0.2">
      <c r="J482" s="146"/>
    </row>
    <row r="483" spans="10:10" s="121" customFormat="1" x14ac:dyDescent="0.2">
      <c r="J483" s="146"/>
    </row>
    <row r="484" spans="10:10" s="121" customFormat="1" x14ac:dyDescent="0.2">
      <c r="J484" s="146"/>
    </row>
    <row r="485" spans="10:10" s="121" customFormat="1" x14ac:dyDescent="0.2">
      <c r="J485" s="146"/>
    </row>
    <row r="486" spans="10:10" s="121" customFormat="1" x14ac:dyDescent="0.2">
      <c r="J486" s="146"/>
    </row>
    <row r="487" spans="10:10" s="121" customFormat="1" x14ac:dyDescent="0.2">
      <c r="J487" s="146"/>
    </row>
    <row r="488" spans="10:10" s="121" customFormat="1" x14ac:dyDescent="0.2">
      <c r="J488" s="146"/>
    </row>
    <row r="489" spans="10:10" s="121" customFormat="1" x14ac:dyDescent="0.2">
      <c r="J489" s="146"/>
    </row>
    <row r="490" spans="10:10" s="121" customFormat="1" x14ac:dyDescent="0.2">
      <c r="J490" s="146"/>
    </row>
    <row r="491" spans="10:10" s="121" customFormat="1" x14ac:dyDescent="0.2">
      <c r="J491" s="146"/>
    </row>
    <row r="492" spans="10:10" s="121" customFormat="1" x14ac:dyDescent="0.2">
      <c r="J492" s="146"/>
    </row>
    <row r="493" spans="10:10" s="121" customFormat="1" x14ac:dyDescent="0.2">
      <c r="J493" s="146"/>
    </row>
    <row r="494" spans="10:10" s="121" customFormat="1" x14ac:dyDescent="0.2">
      <c r="J494" s="146"/>
    </row>
    <row r="495" spans="10:10" s="121" customFormat="1" x14ac:dyDescent="0.2">
      <c r="J495" s="146"/>
    </row>
    <row r="496" spans="10:10" s="121" customFormat="1" x14ac:dyDescent="0.2">
      <c r="J496" s="146"/>
    </row>
    <row r="497" spans="10:10" s="121" customFormat="1" x14ac:dyDescent="0.2">
      <c r="J497" s="146"/>
    </row>
    <row r="498" spans="10:10" s="121" customFormat="1" x14ac:dyDescent="0.2">
      <c r="J498" s="146"/>
    </row>
    <row r="499" spans="10:10" s="121" customFormat="1" x14ac:dyDescent="0.2">
      <c r="J499" s="146"/>
    </row>
    <row r="500" spans="10:10" s="121" customFormat="1" x14ac:dyDescent="0.2">
      <c r="J500" s="146"/>
    </row>
    <row r="501" spans="10:10" s="121" customFormat="1" x14ac:dyDescent="0.2">
      <c r="J501" s="146"/>
    </row>
    <row r="502" spans="10:10" s="121" customFormat="1" x14ac:dyDescent="0.2">
      <c r="J502" s="146"/>
    </row>
    <row r="503" spans="10:10" s="121" customFormat="1" x14ac:dyDescent="0.2">
      <c r="J503" s="146"/>
    </row>
    <row r="504" spans="10:10" s="121" customFormat="1" x14ac:dyDescent="0.2">
      <c r="J504" s="146"/>
    </row>
    <row r="505" spans="10:10" s="121" customFormat="1" x14ac:dyDescent="0.2">
      <c r="J505" s="146"/>
    </row>
    <row r="506" spans="10:10" s="121" customFormat="1" x14ac:dyDescent="0.2">
      <c r="J506" s="146"/>
    </row>
    <row r="507" spans="10:10" s="121" customFormat="1" x14ac:dyDescent="0.2">
      <c r="J507" s="146"/>
    </row>
    <row r="508" spans="10:10" s="121" customFormat="1" x14ac:dyDescent="0.2">
      <c r="J508" s="146"/>
    </row>
    <row r="509" spans="10:10" s="121" customFormat="1" x14ac:dyDescent="0.2">
      <c r="J509" s="146"/>
    </row>
    <row r="510" spans="10:10" s="121" customFormat="1" x14ac:dyDescent="0.2">
      <c r="J510" s="146"/>
    </row>
    <row r="511" spans="10:10" s="121" customFormat="1" x14ac:dyDescent="0.2">
      <c r="J511" s="146"/>
    </row>
    <row r="512" spans="10:10" s="121" customFormat="1" x14ac:dyDescent="0.2">
      <c r="J512" s="146"/>
    </row>
    <row r="513" spans="10:10" s="121" customFormat="1" x14ac:dyDescent="0.2">
      <c r="J513" s="146"/>
    </row>
    <row r="514" spans="10:10" s="121" customFormat="1" x14ac:dyDescent="0.2">
      <c r="J514" s="146"/>
    </row>
    <row r="515" spans="10:10" s="121" customFormat="1" x14ac:dyDescent="0.2">
      <c r="J515" s="146"/>
    </row>
    <row r="516" spans="10:10" s="121" customFormat="1" x14ac:dyDescent="0.2">
      <c r="J516" s="146"/>
    </row>
    <row r="517" spans="10:10" s="121" customFormat="1" x14ac:dyDescent="0.2">
      <c r="J517" s="146"/>
    </row>
    <row r="518" spans="10:10" s="121" customFormat="1" x14ac:dyDescent="0.2">
      <c r="J518" s="146"/>
    </row>
    <row r="519" spans="10:10" s="121" customFormat="1" x14ac:dyDescent="0.2">
      <c r="J519" s="146"/>
    </row>
    <row r="520" spans="10:10" s="121" customFormat="1" x14ac:dyDescent="0.2">
      <c r="J520" s="146"/>
    </row>
    <row r="521" spans="10:10" s="121" customFormat="1" x14ac:dyDescent="0.2">
      <c r="J521" s="146"/>
    </row>
    <row r="522" spans="10:10" s="121" customFormat="1" x14ac:dyDescent="0.2">
      <c r="J522" s="146"/>
    </row>
    <row r="523" spans="10:10" s="121" customFormat="1" x14ac:dyDescent="0.2">
      <c r="J523" s="146"/>
    </row>
    <row r="524" spans="10:10" s="121" customFormat="1" x14ac:dyDescent="0.2">
      <c r="J524" s="146"/>
    </row>
    <row r="525" spans="10:10" s="121" customFormat="1" x14ac:dyDescent="0.2">
      <c r="J525" s="146"/>
    </row>
    <row r="526" spans="10:10" s="121" customFormat="1" x14ac:dyDescent="0.2">
      <c r="J526" s="146"/>
    </row>
    <row r="527" spans="10:10" s="121" customFormat="1" x14ac:dyDescent="0.2">
      <c r="J527" s="146"/>
    </row>
    <row r="528" spans="10:10" s="121" customFormat="1" x14ac:dyDescent="0.2">
      <c r="J528" s="146"/>
    </row>
    <row r="529" spans="10:10" s="121" customFormat="1" x14ac:dyDescent="0.2">
      <c r="J529" s="146"/>
    </row>
    <row r="530" spans="10:10" s="121" customFormat="1" x14ac:dyDescent="0.2">
      <c r="J530" s="146"/>
    </row>
    <row r="531" spans="10:10" s="121" customFormat="1" x14ac:dyDescent="0.2">
      <c r="J531" s="146"/>
    </row>
    <row r="532" spans="10:10" s="121" customFormat="1" x14ac:dyDescent="0.2">
      <c r="J532" s="146"/>
    </row>
    <row r="533" spans="10:10" s="121" customFormat="1" x14ac:dyDescent="0.2">
      <c r="J533" s="146"/>
    </row>
    <row r="534" spans="10:10" s="121" customFormat="1" x14ac:dyDescent="0.2">
      <c r="J534" s="146"/>
    </row>
    <row r="535" spans="10:10" s="121" customFormat="1" x14ac:dyDescent="0.2">
      <c r="J535" s="146"/>
    </row>
    <row r="536" spans="10:10" s="121" customFormat="1" x14ac:dyDescent="0.2">
      <c r="J536" s="146"/>
    </row>
    <row r="537" spans="10:10" s="121" customFormat="1" x14ac:dyDescent="0.2">
      <c r="J537" s="146"/>
    </row>
    <row r="538" spans="10:10" s="121" customFormat="1" x14ac:dyDescent="0.2">
      <c r="J538" s="146"/>
    </row>
    <row r="539" spans="10:10" s="121" customFormat="1" x14ac:dyDescent="0.2">
      <c r="J539" s="146"/>
    </row>
    <row r="540" spans="10:10" s="121" customFormat="1" x14ac:dyDescent="0.2">
      <c r="J540" s="146"/>
    </row>
    <row r="541" spans="10:10" s="121" customFormat="1" x14ac:dyDescent="0.2">
      <c r="J541" s="146"/>
    </row>
    <row r="542" spans="10:10" s="121" customFormat="1" x14ac:dyDescent="0.2">
      <c r="J542" s="146"/>
    </row>
    <row r="543" spans="10:10" s="121" customFormat="1" x14ac:dyDescent="0.2">
      <c r="J543" s="146"/>
    </row>
    <row r="544" spans="10:10" s="121" customFormat="1" x14ac:dyDescent="0.2">
      <c r="J544" s="146"/>
    </row>
    <row r="545" spans="10:10" s="121" customFormat="1" x14ac:dyDescent="0.2">
      <c r="J545" s="146"/>
    </row>
    <row r="546" spans="10:10" s="121" customFormat="1" x14ac:dyDescent="0.2">
      <c r="J546" s="146"/>
    </row>
    <row r="547" spans="10:10" s="121" customFormat="1" x14ac:dyDescent="0.2">
      <c r="J547" s="146"/>
    </row>
    <row r="548" spans="10:10" s="121" customFormat="1" x14ac:dyDescent="0.2">
      <c r="J548" s="146"/>
    </row>
    <row r="549" spans="10:10" s="121" customFormat="1" x14ac:dyDescent="0.2">
      <c r="J549" s="146"/>
    </row>
    <row r="550" spans="10:10" s="121" customFormat="1" x14ac:dyDescent="0.2">
      <c r="J550" s="146"/>
    </row>
    <row r="551" spans="10:10" s="121" customFormat="1" x14ac:dyDescent="0.2">
      <c r="J551" s="146"/>
    </row>
    <row r="552" spans="10:10" s="121" customFormat="1" x14ac:dyDescent="0.2">
      <c r="J552" s="146"/>
    </row>
    <row r="553" spans="10:10" s="121" customFormat="1" x14ac:dyDescent="0.2">
      <c r="J553" s="146"/>
    </row>
    <row r="554" spans="10:10" s="121" customFormat="1" x14ac:dyDescent="0.2">
      <c r="J554" s="146"/>
    </row>
    <row r="555" spans="10:10" s="121" customFormat="1" x14ac:dyDescent="0.2">
      <c r="J555" s="146"/>
    </row>
    <row r="556" spans="10:10" s="121" customFormat="1" x14ac:dyDescent="0.2">
      <c r="J556" s="146"/>
    </row>
    <row r="557" spans="10:10" s="121" customFormat="1" x14ac:dyDescent="0.2">
      <c r="J557" s="146"/>
    </row>
    <row r="558" spans="10:10" s="121" customFormat="1" x14ac:dyDescent="0.2">
      <c r="J558" s="146"/>
    </row>
    <row r="559" spans="10:10" s="121" customFormat="1" x14ac:dyDescent="0.2">
      <c r="J559" s="146"/>
    </row>
    <row r="560" spans="10:10" s="121" customFormat="1" x14ac:dyDescent="0.2">
      <c r="J560" s="146"/>
    </row>
    <row r="561" spans="10:10" s="121" customFormat="1" x14ac:dyDescent="0.2">
      <c r="J561" s="146"/>
    </row>
    <row r="562" spans="10:10" s="121" customFormat="1" x14ac:dyDescent="0.2">
      <c r="J562" s="146"/>
    </row>
    <row r="563" spans="10:10" s="121" customFormat="1" x14ac:dyDescent="0.2">
      <c r="J563" s="146"/>
    </row>
    <row r="564" spans="10:10" s="121" customFormat="1" x14ac:dyDescent="0.2">
      <c r="J564" s="146"/>
    </row>
    <row r="565" spans="10:10" s="121" customFormat="1" x14ac:dyDescent="0.2">
      <c r="J565" s="146"/>
    </row>
    <row r="566" spans="10:10" s="121" customFormat="1" x14ac:dyDescent="0.2">
      <c r="J566" s="146"/>
    </row>
    <row r="567" spans="10:10" s="121" customFormat="1" x14ac:dyDescent="0.2">
      <c r="J567" s="146"/>
    </row>
    <row r="568" spans="10:10" s="121" customFormat="1" x14ac:dyDescent="0.2">
      <c r="J568" s="146"/>
    </row>
    <row r="569" spans="10:10" s="121" customFormat="1" x14ac:dyDescent="0.2">
      <c r="J569" s="146"/>
    </row>
    <row r="570" spans="10:10" s="121" customFormat="1" x14ac:dyDescent="0.2">
      <c r="J570" s="146"/>
    </row>
    <row r="571" spans="10:10" s="121" customFormat="1" x14ac:dyDescent="0.2">
      <c r="J571" s="146"/>
    </row>
    <row r="572" spans="10:10" s="121" customFormat="1" x14ac:dyDescent="0.2">
      <c r="J572" s="146"/>
    </row>
    <row r="573" spans="10:10" s="121" customFormat="1" x14ac:dyDescent="0.2">
      <c r="J573" s="146"/>
    </row>
    <row r="574" spans="10:10" s="121" customFormat="1" x14ac:dyDescent="0.2">
      <c r="J574" s="146"/>
    </row>
    <row r="575" spans="10:10" s="121" customFormat="1" x14ac:dyDescent="0.2">
      <c r="J575" s="146"/>
    </row>
    <row r="576" spans="10:10" s="121" customFormat="1" x14ac:dyDescent="0.2">
      <c r="J576" s="146"/>
    </row>
    <row r="577" spans="10:10" s="121" customFormat="1" x14ac:dyDescent="0.2">
      <c r="J577" s="146"/>
    </row>
    <row r="578" spans="10:10" s="121" customFormat="1" x14ac:dyDescent="0.2">
      <c r="J578" s="146"/>
    </row>
    <row r="579" spans="10:10" s="121" customFormat="1" x14ac:dyDescent="0.2">
      <c r="J579" s="146"/>
    </row>
    <row r="580" spans="10:10" s="121" customFormat="1" x14ac:dyDescent="0.2">
      <c r="J580" s="146"/>
    </row>
    <row r="581" spans="10:10" s="121" customFormat="1" x14ac:dyDescent="0.2">
      <c r="J581" s="146"/>
    </row>
    <row r="582" spans="10:10" s="121" customFormat="1" x14ac:dyDescent="0.2">
      <c r="J582" s="146"/>
    </row>
    <row r="583" spans="10:10" s="121" customFormat="1" x14ac:dyDescent="0.2">
      <c r="J583" s="146"/>
    </row>
    <row r="584" spans="10:10" s="121" customFormat="1" x14ac:dyDescent="0.2">
      <c r="J584" s="146"/>
    </row>
    <row r="585" spans="10:10" s="121" customFormat="1" x14ac:dyDescent="0.2">
      <c r="J585" s="146"/>
    </row>
    <row r="586" spans="10:10" s="121" customFormat="1" x14ac:dyDescent="0.2">
      <c r="J586" s="146"/>
    </row>
    <row r="587" spans="10:10" s="121" customFormat="1" x14ac:dyDescent="0.2">
      <c r="J587" s="146"/>
    </row>
    <row r="588" spans="10:10" s="121" customFormat="1" x14ac:dyDescent="0.2">
      <c r="J588" s="146"/>
    </row>
    <row r="589" spans="10:10" s="121" customFormat="1" x14ac:dyDescent="0.2">
      <c r="J589" s="146"/>
    </row>
    <row r="590" spans="10:10" s="121" customFormat="1" x14ac:dyDescent="0.2">
      <c r="J590" s="146"/>
    </row>
    <row r="591" spans="10:10" s="121" customFormat="1" x14ac:dyDescent="0.2">
      <c r="J591" s="146"/>
    </row>
    <row r="592" spans="10:10" s="121" customFormat="1" x14ac:dyDescent="0.2">
      <c r="J592" s="146"/>
    </row>
    <row r="593" spans="10:10" s="121" customFormat="1" x14ac:dyDescent="0.2">
      <c r="J593" s="146"/>
    </row>
    <row r="594" spans="10:10" s="121" customFormat="1" x14ac:dyDescent="0.2">
      <c r="J594" s="146"/>
    </row>
    <row r="595" spans="10:10" s="121" customFormat="1" x14ac:dyDescent="0.2">
      <c r="J595" s="146"/>
    </row>
    <row r="596" spans="10:10" s="121" customFormat="1" x14ac:dyDescent="0.2">
      <c r="J596" s="146"/>
    </row>
    <row r="597" spans="10:10" s="121" customFormat="1" x14ac:dyDescent="0.2">
      <c r="J597" s="146"/>
    </row>
    <row r="598" spans="10:10" s="121" customFormat="1" x14ac:dyDescent="0.2">
      <c r="J598" s="146"/>
    </row>
    <row r="599" spans="10:10" s="121" customFormat="1" x14ac:dyDescent="0.2">
      <c r="J599" s="146"/>
    </row>
    <row r="600" spans="10:10" s="121" customFormat="1" x14ac:dyDescent="0.2">
      <c r="J600" s="146"/>
    </row>
    <row r="601" spans="10:10" s="121" customFormat="1" x14ac:dyDescent="0.2">
      <c r="J601" s="146"/>
    </row>
    <row r="602" spans="10:10" s="121" customFormat="1" x14ac:dyDescent="0.2">
      <c r="J602" s="146"/>
    </row>
    <row r="603" spans="10:10" s="121" customFormat="1" x14ac:dyDescent="0.2">
      <c r="J603" s="146"/>
    </row>
    <row r="604" spans="10:10" s="121" customFormat="1" x14ac:dyDescent="0.2">
      <c r="J604" s="146"/>
    </row>
    <row r="605" spans="10:10" s="121" customFormat="1" x14ac:dyDescent="0.2">
      <c r="J605" s="146"/>
    </row>
    <row r="606" spans="10:10" s="121" customFormat="1" x14ac:dyDescent="0.2">
      <c r="J606" s="146"/>
    </row>
    <row r="607" spans="10:10" s="121" customFormat="1" x14ac:dyDescent="0.2">
      <c r="J607" s="146"/>
    </row>
    <row r="608" spans="10:10" s="121" customFormat="1" x14ac:dyDescent="0.2">
      <c r="J608" s="146"/>
    </row>
    <row r="609" spans="10:10" s="121" customFormat="1" x14ac:dyDescent="0.2">
      <c r="J609" s="146"/>
    </row>
    <row r="610" spans="10:10" s="121" customFormat="1" x14ac:dyDescent="0.2">
      <c r="J610" s="146"/>
    </row>
    <row r="611" spans="10:10" s="121" customFormat="1" x14ac:dyDescent="0.2">
      <c r="J611" s="146"/>
    </row>
    <row r="612" spans="10:10" s="121" customFormat="1" x14ac:dyDescent="0.2">
      <c r="J612" s="146"/>
    </row>
    <row r="613" spans="10:10" s="121" customFormat="1" x14ac:dyDescent="0.2">
      <c r="J613" s="146"/>
    </row>
    <row r="614" spans="10:10" s="121" customFormat="1" x14ac:dyDescent="0.2">
      <c r="J614" s="146"/>
    </row>
    <row r="615" spans="10:10" s="121" customFormat="1" x14ac:dyDescent="0.2">
      <c r="J615" s="146"/>
    </row>
    <row r="616" spans="10:10" s="121" customFormat="1" x14ac:dyDescent="0.2">
      <c r="J616" s="146"/>
    </row>
    <row r="617" spans="10:10" s="121" customFormat="1" x14ac:dyDescent="0.2">
      <c r="J617" s="146"/>
    </row>
    <row r="618" spans="10:10" s="121" customFormat="1" x14ac:dyDescent="0.2">
      <c r="J618" s="146"/>
    </row>
    <row r="619" spans="10:10" s="121" customFormat="1" x14ac:dyDescent="0.2">
      <c r="J619" s="146"/>
    </row>
    <row r="620" spans="10:10" s="121" customFormat="1" x14ac:dyDescent="0.2">
      <c r="J620" s="146"/>
    </row>
    <row r="621" spans="10:10" s="121" customFormat="1" x14ac:dyDescent="0.2">
      <c r="J621" s="146"/>
    </row>
    <row r="622" spans="10:10" s="121" customFormat="1" x14ac:dyDescent="0.2">
      <c r="J622" s="146"/>
    </row>
    <row r="623" spans="10:10" s="121" customFormat="1" x14ac:dyDescent="0.2">
      <c r="J623" s="146"/>
    </row>
    <row r="624" spans="10:10" s="121" customFormat="1" x14ac:dyDescent="0.2">
      <c r="J624" s="146"/>
    </row>
    <row r="625" spans="10:10" s="121" customFormat="1" x14ac:dyDescent="0.2">
      <c r="J625" s="146"/>
    </row>
    <row r="626" spans="10:10" s="121" customFormat="1" x14ac:dyDescent="0.2">
      <c r="J626" s="146"/>
    </row>
    <row r="627" spans="10:10" s="121" customFormat="1" x14ac:dyDescent="0.2">
      <c r="J627" s="146"/>
    </row>
    <row r="628" spans="10:10" s="121" customFormat="1" x14ac:dyDescent="0.2">
      <c r="J628" s="146"/>
    </row>
    <row r="629" spans="10:10" s="121" customFormat="1" x14ac:dyDescent="0.2">
      <c r="J629" s="146"/>
    </row>
    <row r="630" spans="10:10" s="121" customFormat="1" x14ac:dyDescent="0.2">
      <c r="J630" s="146"/>
    </row>
    <row r="631" spans="10:10" s="121" customFormat="1" x14ac:dyDescent="0.2">
      <c r="J631" s="146"/>
    </row>
    <row r="632" spans="10:10" s="121" customFormat="1" x14ac:dyDescent="0.2">
      <c r="J632" s="146"/>
    </row>
    <row r="633" spans="10:10" s="121" customFormat="1" x14ac:dyDescent="0.2">
      <c r="J633" s="146"/>
    </row>
    <row r="634" spans="10:10" s="121" customFormat="1" x14ac:dyDescent="0.2">
      <c r="J634" s="146"/>
    </row>
    <row r="635" spans="10:10" s="121" customFormat="1" x14ac:dyDescent="0.2">
      <c r="J635" s="146"/>
    </row>
    <row r="636" spans="10:10" s="121" customFormat="1" x14ac:dyDescent="0.2">
      <c r="J636" s="146"/>
    </row>
    <row r="637" spans="10:10" s="121" customFormat="1" x14ac:dyDescent="0.2">
      <c r="J637" s="146"/>
    </row>
    <row r="638" spans="10:10" s="121" customFormat="1" x14ac:dyDescent="0.2">
      <c r="J638" s="146"/>
    </row>
    <row r="639" spans="10:10" s="121" customFormat="1" x14ac:dyDescent="0.2">
      <c r="J639" s="146"/>
    </row>
    <row r="640" spans="10:10" s="121" customFormat="1" x14ac:dyDescent="0.2">
      <c r="J640" s="146"/>
    </row>
    <row r="641" spans="10:10" s="121" customFormat="1" x14ac:dyDescent="0.2">
      <c r="J641" s="146"/>
    </row>
    <row r="642" spans="10:10" s="121" customFormat="1" x14ac:dyDescent="0.2">
      <c r="J642" s="146"/>
    </row>
    <row r="643" spans="10:10" s="121" customFormat="1" x14ac:dyDescent="0.2">
      <c r="J643" s="146"/>
    </row>
    <row r="644" spans="10:10" s="121" customFormat="1" x14ac:dyDescent="0.2">
      <c r="J644" s="146"/>
    </row>
    <row r="645" spans="10:10" s="121" customFormat="1" x14ac:dyDescent="0.2">
      <c r="J645" s="146"/>
    </row>
    <row r="646" spans="10:10" s="121" customFormat="1" x14ac:dyDescent="0.2">
      <c r="J646" s="146"/>
    </row>
    <row r="647" spans="10:10" s="121" customFormat="1" x14ac:dyDescent="0.2">
      <c r="J647" s="146"/>
    </row>
    <row r="648" spans="10:10" s="121" customFormat="1" x14ac:dyDescent="0.2">
      <c r="J648" s="146"/>
    </row>
    <row r="649" spans="10:10" s="121" customFormat="1" x14ac:dyDescent="0.2">
      <c r="J649" s="146"/>
    </row>
    <row r="650" spans="10:10" s="121" customFormat="1" x14ac:dyDescent="0.2">
      <c r="J650" s="146"/>
    </row>
    <row r="651" spans="10:10" s="121" customFormat="1" x14ac:dyDescent="0.2">
      <c r="J651" s="146"/>
    </row>
    <row r="652" spans="10:10" s="121" customFormat="1" x14ac:dyDescent="0.2">
      <c r="J652" s="146"/>
    </row>
    <row r="653" spans="10:10" s="121" customFormat="1" x14ac:dyDescent="0.2">
      <c r="J653" s="146"/>
    </row>
    <row r="654" spans="10:10" s="121" customFormat="1" x14ac:dyDescent="0.2">
      <c r="J654" s="146"/>
    </row>
    <row r="655" spans="10:10" s="121" customFormat="1" x14ac:dyDescent="0.2">
      <c r="J655" s="146"/>
    </row>
    <row r="656" spans="10:10" s="121" customFormat="1" x14ac:dyDescent="0.2">
      <c r="J656" s="146"/>
    </row>
    <row r="657" spans="10:10" s="121" customFormat="1" x14ac:dyDescent="0.2">
      <c r="J657" s="146"/>
    </row>
    <row r="658" spans="10:10" s="121" customFormat="1" x14ac:dyDescent="0.2">
      <c r="J658" s="146"/>
    </row>
    <row r="659" spans="10:10" s="121" customFormat="1" x14ac:dyDescent="0.2">
      <c r="J659" s="146"/>
    </row>
    <row r="660" spans="10:10" s="121" customFormat="1" x14ac:dyDescent="0.2">
      <c r="J660" s="146"/>
    </row>
    <row r="661" spans="10:10" s="121" customFormat="1" x14ac:dyDescent="0.2">
      <c r="J661" s="146"/>
    </row>
    <row r="662" spans="10:10" s="121" customFormat="1" x14ac:dyDescent="0.2">
      <c r="J662" s="146"/>
    </row>
    <row r="663" spans="10:10" s="121" customFormat="1" x14ac:dyDescent="0.2">
      <c r="J663" s="146"/>
    </row>
    <row r="664" spans="10:10" s="121" customFormat="1" x14ac:dyDescent="0.2">
      <c r="J664" s="146"/>
    </row>
    <row r="665" spans="10:10" s="121" customFormat="1" x14ac:dyDescent="0.2">
      <c r="J665" s="146"/>
    </row>
    <row r="666" spans="10:10" s="121" customFormat="1" x14ac:dyDescent="0.2">
      <c r="J666" s="146"/>
    </row>
    <row r="667" spans="10:10" s="121" customFormat="1" x14ac:dyDescent="0.2">
      <c r="J667" s="146"/>
    </row>
    <row r="668" spans="10:10" s="121" customFormat="1" x14ac:dyDescent="0.2">
      <c r="J668" s="146"/>
    </row>
    <row r="669" spans="10:10" s="121" customFormat="1" x14ac:dyDescent="0.2">
      <c r="J669" s="146"/>
    </row>
    <row r="670" spans="10:10" s="121" customFormat="1" x14ac:dyDescent="0.2">
      <c r="J670" s="146"/>
    </row>
    <row r="671" spans="10:10" s="121" customFormat="1" x14ac:dyDescent="0.2">
      <c r="J671" s="146"/>
    </row>
    <row r="672" spans="10:10" s="121" customFormat="1" x14ac:dyDescent="0.2">
      <c r="J672" s="146"/>
    </row>
    <row r="673" spans="10:10" s="121" customFormat="1" x14ac:dyDescent="0.2">
      <c r="J673" s="146"/>
    </row>
    <row r="674" spans="10:10" s="121" customFormat="1" x14ac:dyDescent="0.2">
      <c r="J674" s="146"/>
    </row>
    <row r="675" spans="10:10" s="121" customFormat="1" x14ac:dyDescent="0.2">
      <c r="J675" s="146"/>
    </row>
    <row r="676" spans="10:10" s="121" customFormat="1" x14ac:dyDescent="0.2">
      <c r="J676" s="146"/>
    </row>
    <row r="677" spans="10:10" s="121" customFormat="1" x14ac:dyDescent="0.2">
      <c r="J677" s="146"/>
    </row>
    <row r="678" spans="10:10" s="121" customFormat="1" x14ac:dyDescent="0.2">
      <c r="J678" s="146"/>
    </row>
    <row r="679" spans="10:10" s="121" customFormat="1" x14ac:dyDescent="0.2">
      <c r="J679" s="146"/>
    </row>
    <row r="680" spans="10:10" s="121" customFormat="1" x14ac:dyDescent="0.2">
      <c r="J680" s="146"/>
    </row>
    <row r="681" spans="10:10" s="121" customFormat="1" x14ac:dyDescent="0.2">
      <c r="J681" s="146"/>
    </row>
    <row r="682" spans="10:10" s="121" customFormat="1" x14ac:dyDescent="0.2">
      <c r="J682" s="146"/>
    </row>
    <row r="683" spans="10:10" s="121" customFormat="1" x14ac:dyDescent="0.2">
      <c r="J683" s="146"/>
    </row>
    <row r="684" spans="10:10" s="121" customFormat="1" x14ac:dyDescent="0.2">
      <c r="J684" s="146"/>
    </row>
    <row r="685" spans="10:10" s="121" customFormat="1" x14ac:dyDescent="0.2">
      <c r="J685" s="146"/>
    </row>
    <row r="686" spans="10:10" s="121" customFormat="1" x14ac:dyDescent="0.2">
      <c r="J686" s="146"/>
    </row>
    <row r="687" spans="10:10" s="121" customFormat="1" x14ac:dyDescent="0.2">
      <c r="J687" s="146"/>
    </row>
    <row r="688" spans="10:10" s="121" customFormat="1" x14ac:dyDescent="0.2">
      <c r="J688" s="146"/>
    </row>
    <row r="689" spans="10:10" s="121" customFormat="1" x14ac:dyDescent="0.2">
      <c r="J689" s="146"/>
    </row>
    <row r="690" spans="10:10" s="121" customFormat="1" x14ac:dyDescent="0.2">
      <c r="J690" s="146"/>
    </row>
    <row r="691" spans="10:10" s="121" customFormat="1" x14ac:dyDescent="0.2">
      <c r="J691" s="146"/>
    </row>
    <row r="692" spans="10:10" s="121" customFormat="1" x14ac:dyDescent="0.2">
      <c r="J692" s="146"/>
    </row>
    <row r="693" spans="10:10" s="121" customFormat="1" x14ac:dyDescent="0.2">
      <c r="J693" s="146"/>
    </row>
    <row r="694" spans="10:10" s="121" customFormat="1" x14ac:dyDescent="0.2">
      <c r="J694" s="146"/>
    </row>
    <row r="695" spans="10:10" s="121" customFormat="1" x14ac:dyDescent="0.2">
      <c r="J695" s="146"/>
    </row>
    <row r="696" spans="10:10" s="121" customFormat="1" x14ac:dyDescent="0.2">
      <c r="J696" s="146"/>
    </row>
    <row r="697" spans="10:10" s="121" customFormat="1" x14ac:dyDescent="0.2">
      <c r="J697" s="146"/>
    </row>
    <row r="698" spans="10:10" s="121" customFormat="1" x14ac:dyDescent="0.2">
      <c r="J698" s="146"/>
    </row>
    <row r="699" spans="10:10" s="121" customFormat="1" x14ac:dyDescent="0.2">
      <c r="J699" s="146"/>
    </row>
    <row r="700" spans="10:10" s="121" customFormat="1" x14ac:dyDescent="0.2">
      <c r="J700" s="146"/>
    </row>
    <row r="701" spans="10:10" s="121" customFormat="1" x14ac:dyDescent="0.2">
      <c r="J701" s="146"/>
    </row>
    <row r="702" spans="10:10" s="121" customFormat="1" x14ac:dyDescent="0.2">
      <c r="J702" s="146"/>
    </row>
    <row r="703" spans="10:10" s="121" customFormat="1" x14ac:dyDescent="0.2">
      <c r="J703" s="146"/>
    </row>
    <row r="704" spans="10:10" s="121" customFormat="1" x14ac:dyDescent="0.2">
      <c r="J704" s="146"/>
    </row>
    <row r="705" spans="10:10" s="121" customFormat="1" x14ac:dyDescent="0.2">
      <c r="J705" s="146"/>
    </row>
    <row r="706" spans="10:10" s="121" customFormat="1" x14ac:dyDescent="0.2">
      <c r="J706" s="146"/>
    </row>
    <row r="707" spans="10:10" s="121" customFormat="1" x14ac:dyDescent="0.2">
      <c r="J707" s="146"/>
    </row>
    <row r="708" spans="10:10" s="121" customFormat="1" x14ac:dyDescent="0.2">
      <c r="J708" s="146"/>
    </row>
    <row r="709" spans="10:10" s="121" customFormat="1" x14ac:dyDescent="0.2">
      <c r="J709" s="146"/>
    </row>
    <row r="710" spans="10:10" s="121" customFormat="1" x14ac:dyDescent="0.2">
      <c r="J710" s="146"/>
    </row>
    <row r="711" spans="10:10" s="121" customFormat="1" x14ac:dyDescent="0.2">
      <c r="J711" s="146"/>
    </row>
    <row r="712" spans="10:10" s="121" customFormat="1" x14ac:dyDescent="0.2">
      <c r="J712" s="146"/>
    </row>
    <row r="713" spans="10:10" s="121" customFormat="1" x14ac:dyDescent="0.2">
      <c r="J713" s="146"/>
    </row>
    <row r="714" spans="10:10" s="121" customFormat="1" x14ac:dyDescent="0.2">
      <c r="J714" s="146"/>
    </row>
    <row r="715" spans="10:10" s="121" customFormat="1" x14ac:dyDescent="0.2">
      <c r="J715" s="146"/>
    </row>
    <row r="716" spans="10:10" s="121" customFormat="1" x14ac:dyDescent="0.2">
      <c r="J716" s="146"/>
    </row>
    <row r="717" spans="10:10" s="121" customFormat="1" x14ac:dyDescent="0.2">
      <c r="J717" s="146"/>
    </row>
    <row r="718" spans="10:10" s="121" customFormat="1" x14ac:dyDescent="0.2">
      <c r="J718" s="146"/>
    </row>
    <row r="719" spans="10:10" s="121" customFormat="1" x14ac:dyDescent="0.2">
      <c r="J719" s="146"/>
    </row>
    <row r="720" spans="10:10" s="121" customFormat="1" x14ac:dyDescent="0.2">
      <c r="J720" s="146"/>
    </row>
    <row r="721" spans="10:10" s="121" customFormat="1" x14ac:dyDescent="0.2">
      <c r="J721" s="146"/>
    </row>
    <row r="722" spans="10:10" s="121" customFormat="1" x14ac:dyDescent="0.2">
      <c r="J722" s="146"/>
    </row>
    <row r="723" spans="10:10" s="121" customFormat="1" x14ac:dyDescent="0.2">
      <c r="J723" s="146"/>
    </row>
    <row r="724" spans="10:10" s="121" customFormat="1" x14ac:dyDescent="0.2">
      <c r="J724" s="146"/>
    </row>
    <row r="725" spans="10:10" s="121" customFormat="1" x14ac:dyDescent="0.2">
      <c r="J725" s="146"/>
    </row>
    <row r="726" spans="10:10" s="121" customFormat="1" x14ac:dyDescent="0.2">
      <c r="J726" s="146"/>
    </row>
    <row r="727" spans="10:10" s="121" customFormat="1" x14ac:dyDescent="0.2">
      <c r="J727" s="146"/>
    </row>
    <row r="728" spans="10:10" s="121" customFormat="1" x14ac:dyDescent="0.2">
      <c r="J728" s="146"/>
    </row>
    <row r="729" spans="10:10" s="121" customFormat="1" x14ac:dyDescent="0.2">
      <c r="J729" s="146"/>
    </row>
    <row r="730" spans="10:10" s="121" customFormat="1" x14ac:dyDescent="0.2">
      <c r="J730" s="146"/>
    </row>
    <row r="731" spans="10:10" s="121" customFormat="1" x14ac:dyDescent="0.2">
      <c r="J731" s="146"/>
    </row>
    <row r="732" spans="10:10" s="121" customFormat="1" x14ac:dyDescent="0.2">
      <c r="J732" s="146"/>
    </row>
    <row r="733" spans="10:10" s="121" customFormat="1" x14ac:dyDescent="0.2">
      <c r="J733" s="146"/>
    </row>
    <row r="734" spans="10:10" s="121" customFormat="1" x14ac:dyDescent="0.2">
      <c r="J734" s="146"/>
    </row>
    <row r="735" spans="10:10" s="121" customFormat="1" x14ac:dyDescent="0.2">
      <c r="J735" s="146"/>
    </row>
    <row r="736" spans="10:10" s="121" customFormat="1" x14ac:dyDescent="0.2">
      <c r="J736" s="146"/>
    </row>
    <row r="737" spans="10:10" s="121" customFormat="1" x14ac:dyDescent="0.2">
      <c r="J737" s="146"/>
    </row>
    <row r="738" spans="10:10" s="121" customFormat="1" x14ac:dyDescent="0.2">
      <c r="J738" s="146"/>
    </row>
    <row r="739" spans="10:10" s="121" customFormat="1" x14ac:dyDescent="0.2">
      <c r="J739" s="146"/>
    </row>
    <row r="740" spans="10:10" s="121" customFormat="1" x14ac:dyDescent="0.2">
      <c r="J740" s="146"/>
    </row>
    <row r="741" spans="10:10" s="121" customFormat="1" x14ac:dyDescent="0.2">
      <c r="J741" s="146"/>
    </row>
    <row r="742" spans="10:10" s="121" customFormat="1" x14ac:dyDescent="0.2">
      <c r="J742" s="146"/>
    </row>
    <row r="743" spans="10:10" s="121" customFormat="1" x14ac:dyDescent="0.2">
      <c r="J743" s="146"/>
    </row>
    <row r="744" spans="10:10" s="121" customFormat="1" x14ac:dyDescent="0.2">
      <c r="J744" s="146"/>
    </row>
    <row r="745" spans="10:10" s="121" customFormat="1" x14ac:dyDescent="0.2">
      <c r="J745" s="146"/>
    </row>
    <row r="746" spans="10:10" s="121" customFormat="1" x14ac:dyDescent="0.2">
      <c r="J746" s="146"/>
    </row>
    <row r="747" spans="10:10" s="121" customFormat="1" x14ac:dyDescent="0.2">
      <c r="J747" s="146"/>
    </row>
    <row r="748" spans="10:10" s="121" customFormat="1" x14ac:dyDescent="0.2">
      <c r="J748" s="146"/>
    </row>
    <row r="749" spans="10:10" s="121" customFormat="1" x14ac:dyDescent="0.2">
      <c r="J749" s="146"/>
    </row>
    <row r="750" spans="10:10" s="121" customFormat="1" x14ac:dyDescent="0.2">
      <c r="J750" s="146"/>
    </row>
    <row r="751" spans="10:10" s="121" customFormat="1" x14ac:dyDescent="0.2">
      <c r="J751" s="146"/>
    </row>
    <row r="752" spans="10:10" s="121" customFormat="1" x14ac:dyDescent="0.2">
      <c r="J752" s="146"/>
    </row>
    <row r="753" spans="10:10" s="121" customFormat="1" x14ac:dyDescent="0.2">
      <c r="J753" s="146"/>
    </row>
    <row r="754" spans="10:10" s="121" customFormat="1" x14ac:dyDescent="0.2">
      <c r="J754" s="146"/>
    </row>
    <row r="755" spans="10:10" s="121" customFormat="1" x14ac:dyDescent="0.2">
      <c r="J755" s="146"/>
    </row>
    <row r="756" spans="10:10" s="121" customFormat="1" x14ac:dyDescent="0.2">
      <c r="J756" s="146"/>
    </row>
    <row r="757" spans="10:10" s="121" customFormat="1" x14ac:dyDescent="0.2">
      <c r="J757" s="146"/>
    </row>
    <row r="758" spans="10:10" s="121" customFormat="1" x14ac:dyDescent="0.2">
      <c r="J758" s="146"/>
    </row>
    <row r="759" spans="10:10" s="121" customFormat="1" x14ac:dyDescent="0.2">
      <c r="J759" s="146"/>
    </row>
    <row r="760" spans="10:10" s="121" customFormat="1" x14ac:dyDescent="0.2">
      <c r="J760" s="146"/>
    </row>
    <row r="761" spans="10:10" s="121" customFormat="1" x14ac:dyDescent="0.2">
      <c r="J761" s="146"/>
    </row>
    <row r="762" spans="10:10" s="121" customFormat="1" x14ac:dyDescent="0.2">
      <c r="J762" s="146"/>
    </row>
    <row r="763" spans="10:10" s="121" customFormat="1" x14ac:dyDescent="0.2">
      <c r="J763" s="146"/>
    </row>
    <row r="764" spans="10:10" s="121" customFormat="1" x14ac:dyDescent="0.2">
      <c r="J764" s="146"/>
    </row>
    <row r="765" spans="10:10" s="121" customFormat="1" x14ac:dyDescent="0.2">
      <c r="J765" s="146"/>
    </row>
    <row r="766" spans="10:10" s="121" customFormat="1" x14ac:dyDescent="0.2">
      <c r="J766" s="146"/>
    </row>
    <row r="767" spans="10:10" s="121" customFormat="1" x14ac:dyDescent="0.2">
      <c r="J767" s="146"/>
    </row>
    <row r="768" spans="10:10" s="121" customFormat="1" x14ac:dyDescent="0.2">
      <c r="J768" s="146"/>
    </row>
    <row r="769" spans="10:10" s="121" customFormat="1" x14ac:dyDescent="0.2">
      <c r="J769" s="146"/>
    </row>
    <row r="770" spans="10:10" s="121" customFormat="1" x14ac:dyDescent="0.2">
      <c r="J770" s="146"/>
    </row>
    <row r="771" spans="10:10" s="121" customFormat="1" x14ac:dyDescent="0.2">
      <c r="J771" s="146"/>
    </row>
    <row r="772" spans="10:10" s="121" customFormat="1" x14ac:dyDescent="0.2">
      <c r="J772" s="146"/>
    </row>
    <row r="773" spans="10:10" s="121" customFormat="1" x14ac:dyDescent="0.2">
      <c r="J773" s="146"/>
    </row>
    <row r="774" spans="10:10" s="121" customFormat="1" x14ac:dyDescent="0.2">
      <c r="J774" s="146"/>
    </row>
    <row r="775" spans="10:10" s="121" customFormat="1" x14ac:dyDescent="0.2">
      <c r="J775" s="146"/>
    </row>
    <row r="776" spans="10:10" s="121" customFormat="1" x14ac:dyDescent="0.2">
      <c r="J776" s="146"/>
    </row>
    <row r="777" spans="10:10" s="121" customFormat="1" x14ac:dyDescent="0.2">
      <c r="J777" s="146"/>
    </row>
    <row r="778" spans="10:10" s="121" customFormat="1" x14ac:dyDescent="0.2">
      <c r="J778" s="146"/>
    </row>
    <row r="779" spans="10:10" s="121" customFormat="1" x14ac:dyDescent="0.2">
      <c r="J779" s="146"/>
    </row>
    <row r="780" spans="10:10" s="121" customFormat="1" x14ac:dyDescent="0.2">
      <c r="J780" s="146"/>
    </row>
    <row r="781" spans="10:10" s="121" customFormat="1" x14ac:dyDescent="0.2">
      <c r="J781" s="146"/>
    </row>
    <row r="782" spans="10:10" s="121" customFormat="1" x14ac:dyDescent="0.2">
      <c r="J782" s="146"/>
    </row>
    <row r="783" spans="10:10" s="121" customFormat="1" x14ac:dyDescent="0.2">
      <c r="J783" s="146"/>
    </row>
    <row r="784" spans="10:10" s="121" customFormat="1" x14ac:dyDescent="0.2">
      <c r="J784" s="146"/>
    </row>
    <row r="785" spans="10:10" s="121" customFormat="1" x14ac:dyDescent="0.2">
      <c r="J785" s="146"/>
    </row>
    <row r="786" spans="10:10" s="121" customFormat="1" x14ac:dyDescent="0.2">
      <c r="J786" s="146"/>
    </row>
    <row r="787" spans="10:10" s="121" customFormat="1" x14ac:dyDescent="0.2">
      <c r="J787" s="146"/>
    </row>
    <row r="788" spans="10:10" s="121" customFormat="1" x14ac:dyDescent="0.2">
      <c r="J788" s="146"/>
    </row>
    <row r="789" spans="10:10" s="121" customFormat="1" x14ac:dyDescent="0.2">
      <c r="J789" s="146"/>
    </row>
    <row r="790" spans="10:10" s="121" customFormat="1" x14ac:dyDescent="0.2">
      <c r="J790" s="146"/>
    </row>
    <row r="791" spans="10:10" s="121" customFormat="1" x14ac:dyDescent="0.2">
      <c r="J791" s="146"/>
    </row>
    <row r="792" spans="10:10" s="121" customFormat="1" x14ac:dyDescent="0.2">
      <c r="J792" s="146"/>
    </row>
    <row r="793" spans="10:10" s="121" customFormat="1" x14ac:dyDescent="0.2">
      <c r="J793" s="146"/>
    </row>
    <row r="794" spans="10:10" s="121" customFormat="1" x14ac:dyDescent="0.2">
      <c r="J794" s="146"/>
    </row>
    <row r="795" spans="10:10" s="121" customFormat="1" x14ac:dyDescent="0.2">
      <c r="J795" s="146"/>
    </row>
    <row r="796" spans="10:10" s="121" customFormat="1" x14ac:dyDescent="0.2">
      <c r="J796" s="146"/>
    </row>
    <row r="797" spans="10:10" s="121" customFormat="1" x14ac:dyDescent="0.2">
      <c r="J797" s="146"/>
    </row>
    <row r="798" spans="10:10" s="121" customFormat="1" x14ac:dyDescent="0.2">
      <c r="J798" s="146"/>
    </row>
    <row r="799" spans="10:10" s="121" customFormat="1" x14ac:dyDescent="0.2">
      <c r="J799" s="146"/>
    </row>
    <row r="800" spans="10:10" s="121" customFormat="1" x14ac:dyDescent="0.2">
      <c r="J800" s="146"/>
    </row>
    <row r="801" spans="10:10" s="121" customFormat="1" x14ac:dyDescent="0.2">
      <c r="J801" s="146"/>
    </row>
    <row r="802" spans="10:10" s="121" customFormat="1" x14ac:dyDescent="0.2">
      <c r="J802" s="146"/>
    </row>
    <row r="803" spans="10:10" s="121" customFormat="1" x14ac:dyDescent="0.2">
      <c r="J803" s="146"/>
    </row>
    <row r="804" spans="10:10" s="121" customFormat="1" x14ac:dyDescent="0.2">
      <c r="J804" s="146"/>
    </row>
    <row r="805" spans="10:10" s="121" customFormat="1" x14ac:dyDescent="0.2">
      <c r="J805" s="146"/>
    </row>
    <row r="806" spans="10:10" s="121" customFormat="1" x14ac:dyDescent="0.2">
      <c r="J806" s="146"/>
    </row>
    <row r="807" spans="10:10" s="121" customFormat="1" x14ac:dyDescent="0.2">
      <c r="J807" s="146"/>
    </row>
    <row r="808" spans="10:10" s="121" customFormat="1" x14ac:dyDescent="0.2">
      <c r="J808" s="146"/>
    </row>
    <row r="809" spans="10:10" s="121" customFormat="1" x14ac:dyDescent="0.2">
      <c r="J809" s="146"/>
    </row>
    <row r="810" spans="10:10" s="121" customFormat="1" x14ac:dyDescent="0.2">
      <c r="J810" s="146"/>
    </row>
    <row r="811" spans="10:10" s="121" customFormat="1" x14ac:dyDescent="0.2">
      <c r="J811" s="146"/>
    </row>
    <row r="812" spans="10:10" s="121" customFormat="1" x14ac:dyDescent="0.2">
      <c r="J812" s="146"/>
    </row>
    <row r="813" spans="10:10" s="121" customFormat="1" x14ac:dyDescent="0.2">
      <c r="J813" s="146"/>
    </row>
    <row r="814" spans="10:10" s="121" customFormat="1" x14ac:dyDescent="0.2">
      <c r="J814" s="146"/>
    </row>
    <row r="815" spans="10:10" s="121" customFormat="1" x14ac:dyDescent="0.2">
      <c r="J815" s="146"/>
    </row>
    <row r="816" spans="10:10" s="121" customFormat="1" x14ac:dyDescent="0.2">
      <c r="J816" s="146"/>
    </row>
    <row r="817" spans="10:10" s="121" customFormat="1" x14ac:dyDescent="0.2">
      <c r="J817" s="146"/>
    </row>
    <row r="818" spans="10:10" s="121" customFormat="1" x14ac:dyDescent="0.2">
      <c r="J818" s="146"/>
    </row>
    <row r="819" spans="10:10" s="121" customFormat="1" x14ac:dyDescent="0.2">
      <c r="J819" s="146"/>
    </row>
    <row r="820" spans="10:10" s="121" customFormat="1" x14ac:dyDescent="0.2">
      <c r="J820" s="146"/>
    </row>
    <row r="821" spans="10:10" s="121" customFormat="1" x14ac:dyDescent="0.2">
      <c r="J821" s="146"/>
    </row>
    <row r="822" spans="10:10" s="121" customFormat="1" x14ac:dyDescent="0.2">
      <c r="J822" s="146"/>
    </row>
    <row r="823" spans="10:10" s="121" customFormat="1" x14ac:dyDescent="0.2">
      <c r="J823" s="146"/>
    </row>
    <row r="824" spans="10:10" s="121" customFormat="1" x14ac:dyDescent="0.2">
      <c r="J824" s="146"/>
    </row>
    <row r="825" spans="10:10" s="121" customFormat="1" x14ac:dyDescent="0.2">
      <c r="J825" s="146"/>
    </row>
    <row r="826" spans="10:10" s="121" customFormat="1" x14ac:dyDescent="0.2">
      <c r="J826" s="146"/>
    </row>
    <row r="827" spans="10:10" s="121" customFormat="1" x14ac:dyDescent="0.2">
      <c r="J827" s="146"/>
    </row>
    <row r="828" spans="10:10" s="121" customFormat="1" x14ac:dyDescent="0.2">
      <c r="J828" s="146"/>
    </row>
    <row r="829" spans="10:10" s="121" customFormat="1" x14ac:dyDescent="0.2">
      <c r="J829" s="146"/>
    </row>
    <row r="830" spans="10:10" s="121" customFormat="1" x14ac:dyDescent="0.2">
      <c r="J830" s="146"/>
    </row>
    <row r="831" spans="10:10" s="121" customFormat="1" x14ac:dyDescent="0.2">
      <c r="J831" s="146"/>
    </row>
    <row r="832" spans="10:10" s="121" customFormat="1" x14ac:dyDescent="0.2">
      <c r="J832" s="146"/>
    </row>
    <row r="833" spans="10:10" s="121" customFormat="1" x14ac:dyDescent="0.2">
      <c r="J833" s="146"/>
    </row>
  </sheetData>
  <sheetProtection algorithmName="SHA-512" hashValue="j+SAMXsUiGUlvJ7BD+qJfesfhdNtUv+1TNm43Zk5BxyOiQg5sC1W4dp0INg5gRlDbX05NXEl0CA9nGAjDCBwPA==" saltValue="QAxTPUXm5c2lUBJykI18Mw==" spinCount="100000" sheet="1" objects="1" scenarios="1" formatCells="0" formatColumns="0" formatRows="0"/>
  <dataConsolidate/>
  <mergeCells count="139">
    <mergeCell ref="B420:C420"/>
    <mergeCell ref="B424:C424"/>
    <mergeCell ref="B422:C422"/>
    <mergeCell ref="B268:C268"/>
    <mergeCell ref="B345:C345"/>
    <mergeCell ref="B349:C349"/>
    <mergeCell ref="B365:C365"/>
    <mergeCell ref="B369:C369"/>
    <mergeCell ref="B168:C168"/>
    <mergeCell ref="B324:J324"/>
    <mergeCell ref="B180:C180"/>
    <mergeCell ref="B270:C270"/>
    <mergeCell ref="B215:C215"/>
    <mergeCell ref="B217:C217"/>
    <mergeCell ref="B263:C263"/>
    <mergeCell ref="B259:C259"/>
    <mergeCell ref="B231:J231"/>
    <mergeCell ref="B241:C241"/>
    <mergeCell ref="B182:C182"/>
    <mergeCell ref="B194:C194"/>
    <mergeCell ref="B203:C203"/>
    <mergeCell ref="B205:C205"/>
    <mergeCell ref="B207:C207"/>
    <mergeCell ref="B209:C209"/>
    <mergeCell ref="B390:J390"/>
    <mergeCell ref="B327:J327"/>
    <mergeCell ref="B333:C333"/>
    <mergeCell ref="B335:C335"/>
    <mergeCell ref="B339:C339"/>
    <mergeCell ref="B341:C341"/>
    <mergeCell ref="B337:C337"/>
    <mergeCell ref="B343:C343"/>
    <mergeCell ref="B367:C367"/>
    <mergeCell ref="B361:C361"/>
    <mergeCell ref="B379:C379"/>
    <mergeCell ref="B381:C381"/>
    <mergeCell ref="B383:C383"/>
    <mergeCell ref="B373:C373"/>
    <mergeCell ref="B375:C375"/>
    <mergeCell ref="B377:C377"/>
    <mergeCell ref="B141:C141"/>
    <mergeCell ref="B137:C137"/>
    <mergeCell ref="B326:J326"/>
    <mergeCell ref="B301:C301"/>
    <mergeCell ref="B303:C303"/>
    <mergeCell ref="B305:C305"/>
    <mergeCell ref="B311:C311"/>
    <mergeCell ref="B313:C313"/>
    <mergeCell ref="B278:J278"/>
    <mergeCell ref="B279:J279"/>
    <mergeCell ref="B281:J281"/>
    <mergeCell ref="B284:J284"/>
    <mergeCell ref="B285:J285"/>
    <mergeCell ref="B291:C291"/>
    <mergeCell ref="B293:C293"/>
    <mergeCell ref="B295:C295"/>
    <mergeCell ref="B299:C299"/>
    <mergeCell ref="B315:C315"/>
    <mergeCell ref="B321:J321"/>
    <mergeCell ref="B323:J323"/>
    <mergeCell ref="B277:J277"/>
    <mergeCell ref="B166:C166"/>
    <mergeCell ref="B239:C239"/>
    <mergeCell ref="B237:C237"/>
    <mergeCell ref="B172:C172"/>
    <mergeCell ref="B174:C174"/>
    <mergeCell ref="B176:C176"/>
    <mergeCell ref="B178:C178"/>
    <mergeCell ref="B148:J148"/>
    <mergeCell ref="B164:C164"/>
    <mergeCell ref="B154:J154"/>
    <mergeCell ref="B144:J144"/>
    <mergeCell ref="B150:J150"/>
    <mergeCell ref="B170:C170"/>
    <mergeCell ref="B160:C160"/>
    <mergeCell ref="B162:C162"/>
    <mergeCell ref="B33:J33"/>
    <mergeCell ref="B36:J36"/>
    <mergeCell ref="B37:J37"/>
    <mergeCell ref="B121:C121"/>
    <mergeCell ref="B69:C73"/>
    <mergeCell ref="B139:C139"/>
    <mergeCell ref="B104:J104"/>
    <mergeCell ref="B105:J105"/>
    <mergeCell ref="B111:C111"/>
    <mergeCell ref="B113:C113"/>
    <mergeCell ref="B115:C115"/>
    <mergeCell ref="B101:J101"/>
    <mergeCell ref="B117:C117"/>
    <mergeCell ref="B125:C125"/>
    <mergeCell ref="B129:C129"/>
    <mergeCell ref="B406:C406"/>
    <mergeCell ref="B2:I2"/>
    <mergeCell ref="B4:J4"/>
    <mergeCell ref="B6:J6"/>
    <mergeCell ref="B27:J27"/>
    <mergeCell ref="B13:J13"/>
    <mergeCell ref="B14:J14"/>
    <mergeCell ref="B15:J15"/>
    <mergeCell ref="B97:J97"/>
    <mergeCell ref="B99:J99"/>
    <mergeCell ref="B9:J9"/>
    <mergeCell ref="B22:J22"/>
    <mergeCell ref="B23:J23"/>
    <mergeCell ref="B20:J20"/>
    <mergeCell ref="B38:J38"/>
    <mergeCell ref="E57:G57"/>
    <mergeCell ref="B39:J39"/>
    <mergeCell ref="B40:J40"/>
    <mergeCell ref="B41:J41"/>
    <mergeCell ref="B53:C53"/>
    <mergeCell ref="B57:C57"/>
    <mergeCell ref="B16:J16"/>
    <mergeCell ref="B29:J29"/>
    <mergeCell ref="B31:J31"/>
    <mergeCell ref="B430:C430"/>
    <mergeCell ref="B393:J393"/>
    <mergeCell ref="B394:J394"/>
    <mergeCell ref="B404:C404"/>
    <mergeCell ref="B428:C428"/>
    <mergeCell ref="B410:C410"/>
    <mergeCell ref="B359:C359"/>
    <mergeCell ref="B363:C363"/>
    <mergeCell ref="B190:C190"/>
    <mergeCell ref="B192:C192"/>
    <mergeCell ref="B243:C243"/>
    <mergeCell ref="B245:C245"/>
    <mergeCell ref="B247:C247"/>
    <mergeCell ref="B251:C251"/>
    <mergeCell ref="B219:C219"/>
    <mergeCell ref="B226:J226"/>
    <mergeCell ref="B198:C198"/>
    <mergeCell ref="B211:C211"/>
    <mergeCell ref="B213:C213"/>
    <mergeCell ref="B408:C408"/>
    <mergeCell ref="B412:C412"/>
    <mergeCell ref="B426:C426"/>
    <mergeCell ref="B400:C400"/>
    <mergeCell ref="B402:C402"/>
  </mergeCells>
  <dataValidations disablePrompts="1" count="3">
    <dataValidation type="list" allowBlank="1" showInputMessage="1" showErrorMessage="1" sqref="C249">
      <formula1>prof_amateurs</formula1>
    </dataValidation>
    <dataValidation type="list" allowBlank="1" showInputMessage="1" showErrorMessage="1" sqref="E57">
      <formula1>tonnage_range_paints</formula1>
    </dataValidation>
    <dataValidation type="list" allowBlank="1" showInputMessage="1" showErrorMessage="1" sqref="C65">
      <formula1>vapour_pressure</formula1>
    </dataValidation>
  </dataValidations>
  <hyperlinks>
    <hyperlink ref="B13:J13" location="'PT6-paints&amp;coatings'!Emission_estimates_for_general_public_use_of_decorative_paints__ESD_Table_16__p_41" display="Emission estimates for general public use of decorative paints (ESD Table 16, p 41)"/>
    <hyperlink ref="B9:J9" location="'PT6-paints&amp;coatings'!Emission_estimation_for_the_formulation_process_of_paints_and_coatings__ESD_§_3.2.4.1" display="Emission estimation for the formulation process of paints and coatings (ESD § 3.2.4.1)"/>
    <hyperlink ref="B15:J15" location="'PT6-paints&amp;coatings'!_1._Emission_scenario_for_calculating_the_releases_from_a_façade_treated_by_sprayer__ESD_Table_17__p.43" display="1. Emission scenario for calculating the releases from a façade treated by sprayer (ESD Table 17, p.43)"/>
    <hyperlink ref="B16:J16" location="'PT6-paints&amp;coatings'!_2._Emission_scenario_for_calculating_the_releases_from_a_façade_treated_with_roller_or_brush__ESD_Table_18__p.44" display="2. Emission scenario for calculating the releases from a façade treated with roller or brush (ESD Table 18, p.44)"/>
    <hyperlink ref="B20:J20" location="'PT6-paints&amp;coatings'!Emission_scenario_for_calculating_the_releases_during_service_life_from_a_façade__ESD_Table_19__p.46____City_scenario" display="Emission scenario for calculating the releases during service life from a façade (ESD Table 19, p.46) - City scenario"/>
    <hyperlink ref="B22:J22" location="'PT6-paints&amp;coatings'!_1._Emission_scenario_for_calculating_the_direct_releases_to_soil_during_service_life_from_a_façade__ESD_Table_20__p.47____House_scenario__direct_emission_to_soil" display="1. Emission scenario for calculating the direct releases to soil during service life from a façade (ESD Table 20, p.47) - House scenario, direct emission to soil"/>
    <hyperlink ref="B23:J23" location="'PT6-paints&amp;coatings'!_2._Emission_scenario_for_calculating_the_releases_during_service_life_from_a_bridge__ESD_Table_21__p.47____Bridge_over_pond_scenario__direct_emission_to_surface_water" display="2. Emission scenario for calculating the releases during service life from a bridge (ESD Table 21, p.47) - Bridge over pond scenario, direct emission to surface water"/>
    <hyperlink ref="B94" location="'PT6-paints&amp;coatings'!A1" display="Go to the top of the page"/>
    <hyperlink ref="B146" location="'PT6-paints&amp;coatings'!A1" display="Go to the top of the page"/>
    <hyperlink ref="B223" location="'PT6-paints&amp;coatings'!A1" display="Go to the top of the page"/>
    <hyperlink ref="B274" location="'PT6-paints&amp;coatings'!A1" display="Go to the top of the page"/>
    <hyperlink ref="B319" location="'PT6-paints&amp;coatings'!A1" display="Go to the top of the page"/>
    <hyperlink ref="B387" location="'PT6-paints&amp;coatings'!A1" display="Go to the top of the page"/>
    <hyperlink ref="B434" location="'PT6-paints&amp;coatings'!A1" display="Go to the top of the pag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580"/>
  <sheetViews>
    <sheetView zoomScale="86" zoomScaleNormal="86" workbookViewId="0"/>
  </sheetViews>
  <sheetFormatPr defaultColWidth="8.75" defaultRowHeight="12.75" x14ac:dyDescent="0.2"/>
  <cols>
    <col min="1" max="1" width="1.625" style="121" customWidth="1"/>
    <col min="2" max="2" width="30.625" style="122" customWidth="1"/>
    <col min="3" max="3" width="35.625" style="122" customWidth="1"/>
    <col min="4" max="4" width="1.625" style="122" customWidth="1"/>
    <col min="5" max="5" width="15.625" style="122" customWidth="1"/>
    <col min="6" max="6" width="1.625" style="121" customWidth="1"/>
    <col min="7" max="7" width="20.625" style="122" customWidth="1"/>
    <col min="8" max="9" width="10.625" style="122" customWidth="1"/>
    <col min="10" max="10" width="55.625" style="147" customWidth="1"/>
    <col min="11" max="16" width="8.75" style="122"/>
    <col min="17" max="18" width="8.75" style="121"/>
    <col min="19" max="19" width="37.25" style="121" customWidth="1"/>
    <col min="20" max="65" width="8.75" style="121"/>
    <col min="66" max="16384" width="8.75" style="122"/>
  </cols>
  <sheetData>
    <row r="1" spans="1:101" x14ac:dyDescent="0.2">
      <c r="B1" s="121"/>
      <c r="C1" s="121"/>
      <c r="D1" s="121"/>
      <c r="E1" s="121"/>
      <c r="G1" s="121"/>
      <c r="H1" s="121"/>
      <c r="I1" s="121"/>
      <c r="J1" s="146"/>
      <c r="K1" s="121"/>
      <c r="L1" s="121"/>
      <c r="M1" s="121"/>
      <c r="N1" s="121"/>
      <c r="O1" s="121"/>
      <c r="P1" s="121"/>
    </row>
    <row r="2" spans="1:101" ht="43.5" customHeight="1" x14ac:dyDescent="0.2">
      <c r="B2" s="442" t="s">
        <v>23</v>
      </c>
      <c r="C2" s="442"/>
      <c r="D2" s="442"/>
      <c r="E2" s="442"/>
      <c r="F2" s="442"/>
      <c r="G2" s="442"/>
      <c r="H2" s="442"/>
      <c r="I2" s="442"/>
      <c r="J2" s="146"/>
      <c r="K2" s="121"/>
      <c r="L2" s="121"/>
      <c r="M2" s="121"/>
      <c r="N2" s="121"/>
      <c r="O2" s="121"/>
      <c r="P2" s="121"/>
    </row>
    <row r="3" spans="1:101" x14ac:dyDescent="0.2">
      <c r="B3" s="121"/>
      <c r="C3" s="121"/>
      <c r="D3" s="121"/>
      <c r="E3" s="121"/>
      <c r="G3" s="121"/>
      <c r="H3" s="121"/>
      <c r="I3" s="121"/>
      <c r="J3" s="146"/>
      <c r="K3" s="121"/>
      <c r="L3" s="121"/>
      <c r="M3" s="121"/>
      <c r="N3" s="121"/>
      <c r="O3" s="121"/>
      <c r="P3" s="121"/>
    </row>
    <row r="4" spans="1:101" ht="18" x14ac:dyDescent="0.2">
      <c r="B4" s="443" t="s">
        <v>640</v>
      </c>
      <c r="C4" s="443"/>
      <c r="D4" s="443"/>
      <c r="E4" s="443"/>
      <c r="F4" s="443"/>
      <c r="G4" s="443"/>
      <c r="H4" s="443"/>
      <c r="I4" s="443"/>
      <c r="J4" s="443"/>
      <c r="K4" s="121"/>
      <c r="L4" s="121"/>
      <c r="M4" s="121"/>
      <c r="N4" s="121"/>
      <c r="O4" s="121"/>
      <c r="P4" s="121"/>
    </row>
    <row r="5" spans="1:101" s="121" customFormat="1" ht="15.75" thickBot="1" x14ac:dyDescent="0.25">
      <c r="A5" s="119"/>
      <c r="B5" s="21"/>
      <c r="C5" s="21"/>
      <c r="D5" s="21"/>
      <c r="E5" s="21"/>
      <c r="F5" s="21"/>
      <c r="G5" s="21"/>
      <c r="H5" s="21"/>
      <c r="I5" s="21"/>
      <c r="J5" s="21"/>
      <c r="K5" s="21"/>
      <c r="L5" s="21"/>
      <c r="M5" s="21"/>
      <c r="N5" s="119"/>
      <c r="O5" s="119"/>
      <c r="P5" s="119"/>
      <c r="Q5" s="119"/>
    </row>
    <row r="6" spans="1:101" ht="13.5" customHeight="1" x14ac:dyDescent="0.2">
      <c r="A6" s="119"/>
      <c r="B6" s="450" t="s">
        <v>24</v>
      </c>
      <c r="C6" s="451"/>
      <c r="D6" s="451"/>
      <c r="E6" s="451"/>
      <c r="F6" s="451"/>
      <c r="G6" s="451"/>
      <c r="H6" s="451"/>
      <c r="I6" s="451"/>
      <c r="J6" s="452"/>
      <c r="K6" s="153"/>
      <c r="L6" s="119"/>
      <c r="M6" s="119"/>
      <c r="N6" s="121"/>
      <c r="O6" s="121"/>
      <c r="P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row>
    <row r="7" spans="1:101" ht="13.5" customHeight="1" x14ac:dyDescent="0.2">
      <c r="A7" s="119"/>
      <c r="B7" s="164"/>
      <c r="C7" s="165"/>
      <c r="D7" s="165"/>
      <c r="E7" s="165"/>
      <c r="F7" s="165"/>
      <c r="G7" s="165"/>
      <c r="H7" s="165"/>
      <c r="I7" s="165"/>
      <c r="J7" s="166"/>
      <c r="K7" s="153"/>
      <c r="L7" s="119"/>
      <c r="M7" s="119"/>
      <c r="N7" s="121"/>
      <c r="O7" s="121"/>
      <c r="P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row>
    <row r="8" spans="1:101" ht="13.5" customHeight="1" x14ac:dyDescent="0.2">
      <c r="A8" s="119"/>
      <c r="B8" s="164" t="s">
        <v>391</v>
      </c>
      <c r="C8" s="165"/>
      <c r="D8" s="165"/>
      <c r="E8" s="165"/>
      <c r="F8" s="165"/>
      <c r="G8" s="165"/>
      <c r="H8" s="165"/>
      <c r="I8" s="165"/>
      <c r="J8" s="166"/>
      <c r="K8" s="153"/>
      <c r="L8" s="119"/>
      <c r="M8" s="119"/>
      <c r="N8" s="121"/>
      <c r="O8" s="121"/>
      <c r="P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row>
    <row r="9" spans="1:101" ht="13.5" customHeight="1" x14ac:dyDescent="0.2">
      <c r="A9" s="119"/>
      <c r="B9" s="474" t="s">
        <v>424</v>
      </c>
      <c r="C9" s="462"/>
      <c r="D9" s="462"/>
      <c r="E9" s="462"/>
      <c r="F9" s="462"/>
      <c r="G9" s="462"/>
      <c r="H9" s="462"/>
      <c r="I9" s="462"/>
      <c r="J9" s="463"/>
      <c r="K9" s="153"/>
      <c r="L9" s="119"/>
      <c r="M9" s="119"/>
      <c r="N9" s="121"/>
      <c r="O9" s="121"/>
      <c r="P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121"/>
      <c r="CO9" s="121"/>
      <c r="CP9" s="121"/>
      <c r="CQ9" s="121"/>
      <c r="CR9" s="121"/>
      <c r="CS9" s="121"/>
      <c r="CT9" s="121"/>
      <c r="CU9" s="121"/>
      <c r="CV9" s="121"/>
      <c r="CW9" s="121"/>
    </row>
    <row r="10" spans="1:101" ht="13.5" customHeight="1" x14ac:dyDescent="0.2">
      <c r="A10" s="119"/>
      <c r="B10" s="164"/>
      <c r="C10" s="165"/>
      <c r="D10" s="165"/>
      <c r="E10" s="165"/>
      <c r="F10" s="165"/>
      <c r="G10" s="165"/>
      <c r="H10" s="165"/>
      <c r="I10" s="165"/>
      <c r="J10" s="166"/>
      <c r="K10" s="153"/>
      <c r="L10" s="119"/>
      <c r="M10" s="119"/>
      <c r="N10" s="121"/>
      <c r="O10" s="121"/>
      <c r="P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1"/>
      <c r="CN10" s="121"/>
      <c r="CO10" s="121"/>
      <c r="CP10" s="121"/>
      <c r="CQ10" s="121"/>
      <c r="CR10" s="121"/>
      <c r="CS10" s="121"/>
      <c r="CT10" s="121"/>
      <c r="CU10" s="121"/>
      <c r="CV10" s="121"/>
      <c r="CW10" s="121"/>
    </row>
    <row r="11" spans="1:101" ht="13.5" customHeight="1" x14ac:dyDescent="0.2">
      <c r="A11" s="119"/>
      <c r="B11" s="164" t="s">
        <v>381</v>
      </c>
      <c r="C11" s="165"/>
      <c r="D11" s="165"/>
      <c r="E11" s="165"/>
      <c r="F11" s="165"/>
      <c r="G11" s="165"/>
      <c r="H11" s="165"/>
      <c r="I11" s="165"/>
      <c r="J11" s="166"/>
      <c r="K11" s="153"/>
      <c r="L11" s="119"/>
      <c r="M11" s="119"/>
      <c r="N11" s="121"/>
      <c r="O11" s="121"/>
      <c r="P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row>
    <row r="12" spans="1:101" s="151" customFormat="1" ht="12.4" customHeight="1" x14ac:dyDescent="0.2">
      <c r="A12" s="130"/>
      <c r="B12" s="154" t="s">
        <v>425</v>
      </c>
      <c r="C12" s="150"/>
      <c r="D12" s="150"/>
      <c r="E12" s="150"/>
      <c r="F12" s="150"/>
      <c r="G12" s="150"/>
      <c r="H12" s="150"/>
      <c r="I12" s="152"/>
      <c r="J12" s="94"/>
      <c r="K12" s="130"/>
      <c r="L12" s="130"/>
      <c r="M12" s="130"/>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8"/>
      <c r="CH12" s="128"/>
      <c r="CI12" s="128"/>
      <c r="CJ12" s="128"/>
      <c r="CK12" s="128"/>
      <c r="CL12" s="128"/>
      <c r="CM12" s="128"/>
      <c r="CN12" s="128"/>
      <c r="CO12" s="128"/>
      <c r="CP12" s="128"/>
      <c r="CQ12" s="128"/>
      <c r="CR12" s="128"/>
      <c r="CS12" s="128"/>
      <c r="CT12" s="128"/>
      <c r="CU12" s="128"/>
      <c r="CV12" s="128"/>
      <c r="CW12" s="128"/>
    </row>
    <row r="13" spans="1:101" ht="14.25" x14ac:dyDescent="0.2">
      <c r="A13" s="119"/>
      <c r="B13" s="461" t="s">
        <v>590</v>
      </c>
      <c r="C13" s="462"/>
      <c r="D13" s="462"/>
      <c r="E13" s="462"/>
      <c r="F13" s="462"/>
      <c r="G13" s="462"/>
      <c r="H13" s="462"/>
      <c r="I13" s="462"/>
      <c r="J13" s="463"/>
      <c r="K13" s="119"/>
      <c r="L13" s="119"/>
      <c r="M13" s="119"/>
      <c r="N13" s="121"/>
      <c r="O13" s="121"/>
      <c r="P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row>
    <row r="14" spans="1:101" ht="14.25" x14ac:dyDescent="0.2">
      <c r="A14" s="119"/>
      <c r="B14" s="475" t="s">
        <v>591</v>
      </c>
      <c r="C14" s="476"/>
      <c r="D14" s="476"/>
      <c r="E14" s="476"/>
      <c r="F14" s="476"/>
      <c r="G14" s="476"/>
      <c r="H14" s="476"/>
      <c r="I14" s="476"/>
      <c r="J14" s="477"/>
      <c r="K14" s="119"/>
      <c r="L14" s="119"/>
      <c r="M14" s="119"/>
      <c r="N14" s="121"/>
      <c r="O14" s="121"/>
      <c r="P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row>
    <row r="15" spans="1:101" ht="14.25" x14ac:dyDescent="0.2">
      <c r="A15" s="119"/>
      <c r="B15" s="453" t="s">
        <v>426</v>
      </c>
      <c r="C15" s="454"/>
      <c r="D15" s="454"/>
      <c r="E15" s="454"/>
      <c r="F15" s="454"/>
      <c r="G15" s="454"/>
      <c r="H15" s="454"/>
      <c r="I15" s="454"/>
      <c r="J15" s="455"/>
      <c r="K15" s="119"/>
      <c r="L15" s="119"/>
      <c r="M15" s="119"/>
      <c r="N15" s="121"/>
      <c r="O15" s="121"/>
      <c r="P15" s="121"/>
      <c r="BN15" s="121"/>
      <c r="BO15" s="121"/>
      <c r="BP15" s="121"/>
      <c r="BQ15" s="121"/>
      <c r="BR15" s="121"/>
      <c r="BS15" s="121"/>
      <c r="BT15" s="121"/>
      <c r="BU15" s="121"/>
      <c r="BV15" s="121"/>
      <c r="BW15" s="121"/>
      <c r="BX15" s="121"/>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row>
    <row r="16" spans="1:101" ht="14.25" x14ac:dyDescent="0.2">
      <c r="A16" s="119"/>
      <c r="B16" s="461" t="s">
        <v>604</v>
      </c>
      <c r="C16" s="462"/>
      <c r="D16" s="462"/>
      <c r="E16" s="462"/>
      <c r="F16" s="462"/>
      <c r="G16" s="462"/>
      <c r="H16" s="462"/>
      <c r="I16" s="462"/>
      <c r="J16" s="463"/>
      <c r="K16" s="119"/>
      <c r="L16" s="119"/>
      <c r="M16" s="119"/>
      <c r="N16" s="121"/>
      <c r="O16" s="121"/>
      <c r="P16" s="121"/>
      <c r="BN16" s="121"/>
      <c r="BO16" s="121"/>
      <c r="BP16" s="121"/>
      <c r="BQ16" s="121"/>
      <c r="BR16" s="121"/>
      <c r="BS16" s="121"/>
      <c r="BT16" s="121"/>
      <c r="BU16" s="121"/>
      <c r="BV16" s="121"/>
      <c r="BW16" s="121"/>
      <c r="BX16" s="121"/>
      <c r="BY16" s="121"/>
      <c r="BZ16" s="121"/>
      <c r="CA16" s="121"/>
      <c r="CB16" s="121"/>
      <c r="CC16" s="121"/>
      <c r="CD16" s="121"/>
      <c r="CE16" s="121"/>
      <c r="CF16" s="121"/>
      <c r="CG16" s="121"/>
      <c r="CH16" s="121"/>
      <c r="CI16" s="121"/>
      <c r="CJ16" s="121"/>
      <c r="CK16" s="121"/>
      <c r="CL16" s="121"/>
      <c r="CM16" s="121"/>
      <c r="CN16" s="121"/>
      <c r="CO16" s="121"/>
      <c r="CP16" s="121"/>
      <c r="CQ16" s="121"/>
      <c r="CR16" s="121"/>
      <c r="CS16" s="121"/>
      <c r="CT16" s="121"/>
      <c r="CU16" s="121"/>
      <c r="CV16" s="121"/>
      <c r="CW16" s="121"/>
    </row>
    <row r="17" spans="1:101" ht="12.4" customHeight="1" thickBot="1" x14ac:dyDescent="0.25">
      <c r="A17" s="119"/>
      <c r="B17" s="92"/>
      <c r="C17" s="93"/>
      <c r="D17" s="93"/>
      <c r="E17" s="93"/>
      <c r="F17" s="93"/>
      <c r="G17" s="93"/>
      <c r="H17" s="93"/>
      <c r="I17" s="93"/>
      <c r="J17" s="95"/>
      <c r="K17" s="119"/>
      <c r="L17" s="119"/>
      <c r="M17" s="119"/>
      <c r="N17" s="121"/>
      <c r="O17" s="121"/>
      <c r="P17" s="121"/>
      <c r="BN17" s="121"/>
      <c r="BO17" s="121"/>
      <c r="BP17" s="121"/>
      <c r="BQ17" s="121"/>
      <c r="BR17" s="121"/>
      <c r="BS17" s="121"/>
      <c r="BT17" s="121"/>
      <c r="BU17" s="121"/>
      <c r="BV17" s="121"/>
      <c r="BW17" s="121"/>
      <c r="BX17" s="121"/>
      <c r="BY17" s="121"/>
      <c r="BZ17" s="121"/>
      <c r="CA17" s="121"/>
      <c r="CB17" s="121"/>
      <c r="CC17" s="121"/>
      <c r="CD17" s="121"/>
      <c r="CE17" s="121"/>
      <c r="CF17" s="121"/>
      <c r="CG17" s="121"/>
      <c r="CH17" s="121"/>
      <c r="CI17" s="121"/>
      <c r="CJ17" s="121"/>
      <c r="CK17" s="121"/>
      <c r="CL17" s="121"/>
      <c r="CM17" s="121"/>
      <c r="CN17" s="121"/>
      <c r="CO17" s="121"/>
      <c r="CP17" s="121"/>
      <c r="CQ17" s="121"/>
      <c r="CR17" s="121"/>
      <c r="CS17" s="121"/>
      <c r="CT17" s="121"/>
      <c r="CU17" s="121"/>
      <c r="CV17" s="121"/>
      <c r="CW17" s="121"/>
    </row>
    <row r="18" spans="1:101" s="151" customFormat="1" x14ac:dyDescent="0.2">
      <c r="A18" s="130"/>
      <c r="B18" s="155"/>
      <c r="C18" s="155"/>
      <c r="D18" s="155"/>
      <c r="E18" s="155"/>
      <c r="F18" s="155"/>
      <c r="G18" s="155"/>
      <c r="H18" s="155"/>
      <c r="I18" s="156"/>
      <c r="J18" s="130"/>
      <c r="K18" s="130"/>
      <c r="L18" s="130"/>
      <c r="M18" s="130"/>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c r="BT18" s="128"/>
      <c r="BU18" s="128"/>
      <c r="BV18" s="128"/>
      <c r="BW18" s="128"/>
      <c r="BX18" s="128"/>
      <c r="BY18" s="128"/>
      <c r="BZ18" s="128"/>
      <c r="CA18" s="128"/>
      <c r="CB18" s="128"/>
      <c r="CC18" s="128"/>
      <c r="CD18" s="128"/>
      <c r="CE18" s="128"/>
      <c r="CF18" s="128"/>
      <c r="CG18" s="128"/>
      <c r="CH18" s="128"/>
      <c r="CI18" s="128"/>
      <c r="CJ18" s="128"/>
      <c r="CK18" s="128"/>
      <c r="CL18" s="128"/>
      <c r="CM18" s="128"/>
      <c r="CN18" s="128"/>
      <c r="CO18" s="128"/>
      <c r="CP18" s="128"/>
      <c r="CQ18" s="128"/>
      <c r="CR18" s="128"/>
      <c r="CS18" s="128"/>
      <c r="CT18" s="128"/>
      <c r="CU18" s="128"/>
      <c r="CV18" s="128"/>
      <c r="CW18" s="128"/>
    </row>
    <row r="19" spans="1:101" s="127" customFormat="1" ht="14.25" x14ac:dyDescent="0.2">
      <c r="A19" s="123"/>
      <c r="B19" s="124" t="s">
        <v>19</v>
      </c>
      <c r="C19" s="125"/>
      <c r="D19" s="125"/>
      <c r="E19" s="125"/>
      <c r="F19" s="125"/>
      <c r="G19" s="123"/>
      <c r="H19" s="123"/>
      <c r="I19" s="123"/>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row>
    <row r="20" spans="1:101" s="121" customFormat="1" ht="30" customHeight="1" x14ac:dyDescent="0.2">
      <c r="B20" s="429" t="s">
        <v>423</v>
      </c>
      <c r="C20" s="430"/>
      <c r="D20" s="430"/>
      <c r="E20" s="430"/>
      <c r="F20" s="430"/>
      <c r="G20" s="430"/>
      <c r="H20" s="430"/>
      <c r="I20" s="430"/>
      <c r="J20" s="430"/>
    </row>
    <row r="21" spans="1:101" s="121" customFormat="1" ht="3" customHeight="1" x14ac:dyDescent="0.2">
      <c r="B21" s="232"/>
      <c r="C21" s="232"/>
      <c r="D21" s="232"/>
      <c r="E21" s="232"/>
      <c r="F21" s="232"/>
      <c r="G21" s="232"/>
      <c r="H21" s="232"/>
      <c r="I21" s="232"/>
      <c r="J21" s="232"/>
    </row>
    <row r="22" spans="1:101" s="121" customFormat="1" ht="14.25" x14ac:dyDescent="0.2">
      <c r="B22" s="429" t="s">
        <v>427</v>
      </c>
      <c r="C22" s="430"/>
      <c r="D22" s="430"/>
      <c r="E22" s="430"/>
      <c r="F22" s="430"/>
      <c r="G22" s="430"/>
      <c r="H22" s="430"/>
      <c r="I22" s="430"/>
      <c r="J22" s="430"/>
    </row>
    <row r="23" spans="1:101" s="121" customFormat="1" ht="14.25" x14ac:dyDescent="0.2">
      <c r="B23" s="231"/>
      <c r="C23" s="232"/>
      <c r="D23" s="232"/>
      <c r="E23" s="232"/>
      <c r="F23" s="232"/>
      <c r="G23" s="232"/>
      <c r="H23" s="232"/>
      <c r="I23" s="232"/>
      <c r="J23" s="232"/>
    </row>
    <row r="24" spans="1:101" s="121" customFormat="1" ht="14.25" x14ac:dyDescent="0.2">
      <c r="B24" s="435" t="s">
        <v>391</v>
      </c>
      <c r="C24" s="435"/>
      <c r="D24" s="435"/>
      <c r="E24" s="435"/>
      <c r="F24" s="435"/>
      <c r="G24" s="435"/>
      <c r="H24" s="435"/>
      <c r="I24" s="435"/>
      <c r="J24" s="435"/>
    </row>
    <row r="25" spans="1:101" s="121" customFormat="1" ht="14.25" x14ac:dyDescent="0.2">
      <c r="B25" s="232"/>
      <c r="C25" s="232"/>
      <c r="D25" s="232"/>
      <c r="E25" s="232"/>
      <c r="F25" s="232"/>
      <c r="G25" s="232"/>
      <c r="H25" s="232"/>
      <c r="I25" s="232"/>
      <c r="J25" s="232"/>
    </row>
    <row r="26" spans="1:101" s="121" customFormat="1" ht="18" x14ac:dyDescent="0.2">
      <c r="B26" s="437" t="s">
        <v>424</v>
      </c>
      <c r="C26" s="437"/>
      <c r="D26" s="437"/>
      <c r="E26" s="437"/>
      <c r="F26" s="437"/>
      <c r="G26" s="437"/>
      <c r="H26" s="437"/>
      <c r="I26" s="437"/>
      <c r="J26" s="437"/>
    </row>
    <row r="27" spans="1:101" s="121" customFormat="1" ht="3" customHeight="1" x14ac:dyDescent="0.2">
      <c r="B27" s="232"/>
      <c r="C27" s="232"/>
      <c r="D27" s="232"/>
      <c r="E27" s="232"/>
      <c r="F27" s="232"/>
      <c r="G27" s="232"/>
      <c r="H27" s="232"/>
      <c r="I27" s="232"/>
      <c r="J27" s="232"/>
    </row>
    <row r="28" spans="1:101" s="121" customFormat="1" ht="14.25" x14ac:dyDescent="0.2">
      <c r="B28" s="129" t="s">
        <v>8</v>
      </c>
      <c r="C28" s="232"/>
      <c r="D28" s="232"/>
      <c r="E28" s="232"/>
      <c r="F28" s="232"/>
      <c r="G28" s="232"/>
      <c r="H28" s="232"/>
      <c r="I28" s="232"/>
      <c r="J28" s="232"/>
    </row>
    <row r="29" spans="1:101" s="121" customFormat="1" ht="14.25" customHeight="1" x14ac:dyDescent="0.2">
      <c r="B29" s="434" t="s">
        <v>148</v>
      </c>
      <c r="C29" s="434"/>
      <c r="D29" s="434"/>
      <c r="E29" s="434"/>
      <c r="F29" s="434"/>
      <c r="G29" s="434"/>
      <c r="H29" s="434"/>
      <c r="I29" s="434"/>
      <c r="J29" s="434"/>
    </row>
    <row r="30" spans="1:101" s="121" customFormat="1" x14ac:dyDescent="0.2">
      <c r="B30" s="434" t="s">
        <v>435</v>
      </c>
      <c r="C30" s="434"/>
      <c r="D30" s="434"/>
      <c r="E30" s="434"/>
      <c r="F30" s="434"/>
      <c r="G30" s="434"/>
      <c r="H30" s="434"/>
      <c r="I30" s="434"/>
      <c r="J30" s="434"/>
    </row>
    <row r="31" spans="1:101" s="121" customFormat="1" x14ac:dyDescent="0.2">
      <c r="B31" s="434" t="s">
        <v>823</v>
      </c>
      <c r="C31" s="434"/>
      <c r="D31" s="434"/>
      <c r="E31" s="434"/>
      <c r="F31" s="434"/>
      <c r="G31" s="434"/>
      <c r="H31" s="434"/>
      <c r="I31" s="434"/>
      <c r="J31" s="434"/>
    </row>
    <row r="32" spans="1:101" s="121" customFormat="1" x14ac:dyDescent="0.2">
      <c r="B32" s="434" t="s">
        <v>438</v>
      </c>
      <c r="C32" s="434"/>
      <c r="D32" s="434"/>
      <c r="E32" s="434"/>
      <c r="F32" s="434"/>
      <c r="G32" s="434"/>
      <c r="H32" s="434"/>
      <c r="I32" s="434"/>
      <c r="J32" s="434"/>
    </row>
    <row r="33" spans="2:10" s="121" customFormat="1" ht="14.25" customHeight="1" x14ac:dyDescent="0.2">
      <c r="B33" s="434" t="s">
        <v>552</v>
      </c>
      <c r="C33" s="434"/>
      <c r="D33" s="434"/>
      <c r="E33" s="434"/>
      <c r="F33" s="434"/>
      <c r="G33" s="434"/>
      <c r="H33" s="434"/>
      <c r="I33" s="434"/>
      <c r="J33" s="434"/>
    </row>
    <row r="34" spans="2:10" s="121" customFormat="1" x14ac:dyDescent="0.2">
      <c r="B34" s="434" t="s">
        <v>436</v>
      </c>
      <c r="C34" s="434"/>
      <c r="D34" s="434"/>
      <c r="E34" s="434"/>
      <c r="F34" s="434"/>
      <c r="G34" s="434"/>
      <c r="H34" s="434"/>
      <c r="I34" s="434"/>
      <c r="J34" s="434"/>
    </row>
    <row r="35" spans="2:10" s="121" customFormat="1" ht="3" customHeight="1" x14ac:dyDescent="0.2">
      <c r="B35" s="232"/>
      <c r="C35" s="232"/>
      <c r="D35" s="232"/>
      <c r="E35" s="232"/>
      <c r="F35" s="232"/>
      <c r="G35" s="232"/>
      <c r="H35" s="232"/>
      <c r="I35" s="232"/>
      <c r="J35" s="232"/>
    </row>
    <row r="36" spans="2:10" s="121" customFormat="1" ht="15" x14ac:dyDescent="0.2">
      <c r="B36" s="131" t="s">
        <v>0</v>
      </c>
      <c r="C36" s="132"/>
      <c r="D36" s="132"/>
      <c r="E36" s="132"/>
      <c r="F36" s="132"/>
      <c r="G36" s="132"/>
      <c r="H36" s="132"/>
      <c r="I36" s="132"/>
      <c r="J36" s="133"/>
    </row>
    <row r="37" spans="2:10" s="121" customFormat="1" ht="3" customHeight="1" x14ac:dyDescent="0.2">
      <c r="B37" s="134"/>
      <c r="C37" s="134"/>
      <c r="D37" s="134"/>
      <c r="E37" s="134"/>
      <c r="F37" s="134"/>
      <c r="G37" s="134"/>
      <c r="H37" s="134"/>
      <c r="I37" s="134"/>
      <c r="J37" s="238"/>
    </row>
    <row r="38" spans="2:10" s="121" customFormat="1" ht="15" x14ac:dyDescent="0.2">
      <c r="B38" s="136" t="s">
        <v>2</v>
      </c>
      <c r="C38" s="136"/>
      <c r="D38" s="136"/>
      <c r="E38" s="137" t="s">
        <v>4</v>
      </c>
      <c r="F38" s="138"/>
      <c r="G38" s="138" t="s">
        <v>6</v>
      </c>
      <c r="H38" s="138" t="s">
        <v>3</v>
      </c>
      <c r="I38" s="138" t="s">
        <v>9</v>
      </c>
      <c r="J38" s="137" t="s">
        <v>15</v>
      </c>
    </row>
    <row r="39" spans="2:10" s="121" customFormat="1" ht="3" customHeight="1" x14ac:dyDescent="0.2">
      <c r="B39" s="134"/>
      <c r="C39" s="134"/>
      <c r="D39" s="134"/>
      <c r="E39" s="134"/>
      <c r="F39" s="134"/>
      <c r="G39" s="134"/>
      <c r="H39" s="134"/>
      <c r="I39" s="134"/>
      <c r="J39" s="238"/>
    </row>
    <row r="40" spans="2:10" s="121" customFormat="1" ht="15" x14ac:dyDescent="0.2">
      <c r="B40" s="134" t="s">
        <v>30</v>
      </c>
      <c r="C40" s="134"/>
      <c r="D40" s="134"/>
      <c r="E40" s="238" t="s">
        <v>31</v>
      </c>
      <c r="F40" s="134"/>
      <c r="G40" s="141"/>
      <c r="H40" s="139" t="s">
        <v>134</v>
      </c>
      <c r="I40" s="139" t="s">
        <v>18</v>
      </c>
      <c r="J40" s="238"/>
    </row>
    <row r="41" spans="2:10" s="121" customFormat="1" ht="3" customHeight="1" x14ac:dyDescent="0.2">
      <c r="B41" s="134"/>
      <c r="C41" s="134"/>
      <c r="D41" s="134"/>
      <c r="E41" s="238"/>
      <c r="F41" s="134"/>
      <c r="G41" s="139"/>
      <c r="H41" s="139"/>
      <c r="I41" s="139"/>
      <c r="J41" s="238"/>
    </row>
    <row r="42" spans="2:10" s="121" customFormat="1" x14ac:dyDescent="0.2">
      <c r="B42" s="134" t="s">
        <v>32</v>
      </c>
      <c r="C42" s="134"/>
      <c r="D42" s="134"/>
      <c r="E42" s="236" t="s">
        <v>33</v>
      </c>
      <c r="F42" s="134"/>
      <c r="G42" s="139">
        <v>0.1</v>
      </c>
      <c r="H42" s="139" t="s">
        <v>5</v>
      </c>
      <c r="I42" s="148" t="str">
        <f>IF(Freg_formulation=0.1, "D", "S")</f>
        <v>D</v>
      </c>
      <c r="J42" s="238"/>
    </row>
    <row r="43" spans="2:10" s="121" customFormat="1" ht="3" customHeight="1" x14ac:dyDescent="0.2">
      <c r="B43" s="134"/>
      <c r="C43" s="134"/>
      <c r="D43" s="134"/>
      <c r="E43" s="236"/>
      <c r="F43" s="134"/>
      <c r="G43" s="139"/>
      <c r="H43" s="139"/>
      <c r="I43" s="139"/>
      <c r="J43" s="238"/>
    </row>
    <row r="44" spans="2:10" s="121" customFormat="1" ht="15" x14ac:dyDescent="0.2">
      <c r="B44" s="134" t="s">
        <v>139</v>
      </c>
      <c r="C44" s="134"/>
      <c r="D44" s="134"/>
      <c r="E44" s="236" t="s">
        <v>140</v>
      </c>
      <c r="F44" s="134"/>
      <c r="G44" s="227" t="str">
        <f>IF(ISNUMBER(TONNAGEformulation), TONNAGEformulation*Freg_formulation,"??")</f>
        <v>??</v>
      </c>
      <c r="H44" s="139" t="s">
        <v>134</v>
      </c>
      <c r="I44" s="139" t="s">
        <v>7</v>
      </c>
      <c r="J44" s="238" t="s">
        <v>357</v>
      </c>
    </row>
    <row r="45" spans="2:10" s="121" customFormat="1" ht="3" customHeight="1" x14ac:dyDescent="0.2">
      <c r="B45" s="134"/>
      <c r="C45" s="134"/>
      <c r="D45" s="134"/>
      <c r="E45" s="238"/>
      <c r="F45" s="134"/>
      <c r="G45" s="139"/>
      <c r="H45" s="139"/>
      <c r="I45" s="139"/>
      <c r="J45" s="238"/>
    </row>
    <row r="46" spans="2:10" s="121" customFormat="1" ht="25.5" customHeight="1" x14ac:dyDescent="0.2">
      <c r="B46" s="431" t="s">
        <v>359</v>
      </c>
      <c r="C46" s="431"/>
      <c r="D46" s="134"/>
      <c r="E46" s="238" t="s">
        <v>358</v>
      </c>
      <c r="F46" s="134"/>
      <c r="G46" s="141"/>
      <c r="H46" s="139" t="s">
        <v>5</v>
      </c>
      <c r="I46" s="139" t="s">
        <v>18</v>
      </c>
      <c r="J46" s="323" t="s">
        <v>573</v>
      </c>
    </row>
    <row r="47" spans="2:10" s="121" customFormat="1" ht="3" customHeight="1" x14ac:dyDescent="0.2">
      <c r="B47" s="134"/>
      <c r="C47" s="134"/>
      <c r="D47" s="134"/>
      <c r="E47" s="238"/>
      <c r="F47" s="134"/>
      <c r="G47" s="139"/>
      <c r="H47" s="139"/>
      <c r="I47" s="139"/>
      <c r="J47" s="238"/>
    </row>
    <row r="48" spans="2:10" s="121" customFormat="1" ht="25.5" x14ac:dyDescent="0.2">
      <c r="B48" s="134" t="s">
        <v>360</v>
      </c>
      <c r="C48" s="134"/>
      <c r="D48" s="134"/>
      <c r="E48" s="238" t="s">
        <v>361</v>
      </c>
      <c r="F48" s="134"/>
      <c r="G48" s="227" t="str">
        <f>IF(AND(ISNUMBER(TONNAGEreg_formulation), ISNUMBER(Fchem_form_formulation)),TONNAGEreg_formulation/Fchem_form_formulation,"??")</f>
        <v>??</v>
      </c>
      <c r="H48" s="139" t="s">
        <v>134</v>
      </c>
      <c r="I48" s="139" t="s">
        <v>7</v>
      </c>
      <c r="J48" s="233" t="s">
        <v>567</v>
      </c>
    </row>
    <row r="49" spans="2:10" s="121" customFormat="1" ht="3" customHeight="1" thickBot="1" x14ac:dyDescent="0.25">
      <c r="B49" s="134"/>
      <c r="C49" s="134"/>
      <c r="D49" s="134"/>
      <c r="E49" s="238"/>
      <c r="F49" s="134"/>
      <c r="G49" s="139"/>
      <c r="H49" s="139"/>
      <c r="I49" s="139"/>
      <c r="J49" s="233"/>
    </row>
    <row r="50" spans="2:10" s="121" customFormat="1" ht="45" customHeight="1" thickTop="1" thickBot="1" x14ac:dyDescent="0.25">
      <c r="B50" s="431" t="s">
        <v>824</v>
      </c>
      <c r="C50" s="431"/>
      <c r="D50" s="134"/>
      <c r="E50" s="444" t="s">
        <v>482</v>
      </c>
      <c r="F50" s="444"/>
      <c r="G50" s="444"/>
      <c r="H50" s="444"/>
      <c r="I50" s="444"/>
      <c r="J50" s="248"/>
    </row>
    <row r="51" spans="2:10" s="121" customFormat="1" ht="3" customHeight="1" thickTop="1" x14ac:dyDescent="0.2">
      <c r="B51" s="238"/>
      <c r="C51" s="233"/>
      <c r="D51" s="134"/>
      <c r="E51" s="238"/>
      <c r="F51" s="134"/>
      <c r="G51" s="139"/>
      <c r="H51" s="139"/>
      <c r="I51" s="139"/>
      <c r="J51" s="233"/>
    </row>
    <row r="52" spans="2:10" s="121" customFormat="1" x14ac:dyDescent="0.2">
      <c r="B52" s="134" t="s">
        <v>377</v>
      </c>
      <c r="C52" s="134"/>
      <c r="D52" s="134"/>
      <c r="E52" s="238" t="s">
        <v>165</v>
      </c>
      <c r="F52" s="134"/>
      <c r="G52" s="36" t="str">
        <f>INDEX('Pick-lists &amp; Defaults'!C89:C104,MATCH(Select_tonnage_range,tonnage_range_paper,0))</f>
        <v>??</v>
      </c>
      <c r="H52" s="139" t="s">
        <v>5</v>
      </c>
      <c r="I52" s="139" t="s">
        <v>237</v>
      </c>
      <c r="J52" s="238" t="s">
        <v>589</v>
      </c>
    </row>
    <row r="53" spans="2:10" s="121" customFormat="1" ht="3" customHeight="1" x14ac:dyDescent="0.2">
      <c r="B53" s="134"/>
      <c r="C53" s="134"/>
      <c r="D53" s="134"/>
      <c r="E53" s="238"/>
      <c r="F53" s="134"/>
      <c r="G53" s="139"/>
      <c r="H53" s="139"/>
      <c r="I53" s="139"/>
      <c r="J53" s="238"/>
    </row>
    <row r="54" spans="2:10" s="121" customFormat="1" x14ac:dyDescent="0.2">
      <c r="B54" s="134" t="s">
        <v>164</v>
      </c>
      <c r="C54" s="134"/>
      <c r="D54" s="134"/>
      <c r="E54" s="238" t="s">
        <v>378</v>
      </c>
      <c r="F54" s="134"/>
      <c r="G54" s="274" t="str">
        <f>INDEX('Pick-lists &amp; Defaults'!E89:E104,MATCH(Select_tonnage_range,tonnage_range_paper,0))</f>
        <v>??</v>
      </c>
      <c r="H54" s="139" t="s">
        <v>20</v>
      </c>
      <c r="I54" s="148" t="s">
        <v>237</v>
      </c>
      <c r="J54" s="243" t="s">
        <v>589</v>
      </c>
    </row>
    <row r="55" spans="2:10" s="121" customFormat="1" ht="3" customHeight="1" x14ac:dyDescent="0.2">
      <c r="B55" s="134"/>
      <c r="C55" s="134"/>
      <c r="D55" s="134"/>
      <c r="E55" s="238"/>
      <c r="F55" s="134"/>
      <c r="G55" s="139"/>
      <c r="H55" s="139"/>
      <c r="I55" s="139"/>
      <c r="J55" s="238"/>
    </row>
    <row r="56" spans="2:10" s="121" customFormat="1" x14ac:dyDescent="0.2">
      <c r="B56" s="233" t="s">
        <v>379</v>
      </c>
      <c r="C56" s="134"/>
      <c r="D56" s="134"/>
      <c r="E56" s="238" t="s">
        <v>97</v>
      </c>
      <c r="F56" s="134"/>
      <c r="G56" s="274" t="str">
        <f>IF(ISNUMBER(TONNAGEregform_formulation),IF(TONNAGEregform_formulation&lt;1000,'Pick-lists &amp; Defaults'!C15,'Pick-lists &amp; Defaults'!C16),"??")</f>
        <v>??</v>
      </c>
      <c r="H56" s="139" t="s">
        <v>5</v>
      </c>
      <c r="I56" s="139" t="s">
        <v>237</v>
      </c>
      <c r="J56" s="233" t="s">
        <v>570</v>
      </c>
    </row>
    <row r="57" spans="2:10" s="121" customFormat="1" ht="3" customHeight="1" thickBot="1" x14ac:dyDescent="0.25">
      <c r="B57" s="233"/>
      <c r="C57" s="134"/>
      <c r="D57" s="134"/>
      <c r="E57" s="238"/>
      <c r="F57" s="134"/>
      <c r="G57" s="238"/>
      <c r="H57" s="139"/>
      <c r="I57" s="139"/>
      <c r="J57" s="233"/>
    </row>
    <row r="58" spans="2:10" s="121" customFormat="1" ht="17.25" thickTop="1" thickBot="1" x14ac:dyDescent="0.25">
      <c r="B58" s="233" t="s">
        <v>400</v>
      </c>
      <c r="C58" s="67" t="s">
        <v>348</v>
      </c>
      <c r="D58" s="134"/>
      <c r="E58" s="238" t="s">
        <v>401</v>
      </c>
      <c r="F58" s="134"/>
      <c r="G58" s="36" t="str">
        <f>INDEX('Pick-lists &amp; Defaults'!C7:C11,MATCH(C58,vapour_pressure,0))</f>
        <v>??</v>
      </c>
      <c r="H58" s="139" t="s">
        <v>5</v>
      </c>
      <c r="I58" s="139" t="s">
        <v>237</v>
      </c>
      <c r="J58" s="233" t="s">
        <v>570</v>
      </c>
    </row>
    <row r="59" spans="2:10" s="121" customFormat="1" ht="3" customHeight="1" thickTop="1" x14ac:dyDescent="0.2">
      <c r="B59" s="233"/>
      <c r="C59" s="134"/>
      <c r="D59" s="134"/>
      <c r="E59" s="238"/>
      <c r="F59" s="134"/>
      <c r="G59" s="238"/>
      <c r="H59" s="139"/>
      <c r="I59" s="139"/>
      <c r="J59" s="233"/>
    </row>
    <row r="60" spans="2:10" s="121" customFormat="1" x14ac:dyDescent="0.2">
      <c r="B60" s="233" t="s">
        <v>402</v>
      </c>
      <c r="C60" s="134"/>
      <c r="D60" s="134"/>
      <c r="E60" s="238" t="s">
        <v>403</v>
      </c>
      <c r="F60" s="134"/>
      <c r="G60" s="139">
        <v>1E-4</v>
      </c>
      <c r="H60" s="139" t="s">
        <v>5</v>
      </c>
      <c r="I60" s="148" t="str">
        <f>IF(Fsoil_formulation=0.0001, "D", "S")</f>
        <v>D</v>
      </c>
      <c r="J60" s="248" t="s">
        <v>571</v>
      </c>
    </row>
    <row r="61" spans="2:10" s="121" customFormat="1" ht="3" customHeight="1" x14ac:dyDescent="0.2">
      <c r="B61" s="314"/>
      <c r="C61" s="134"/>
      <c r="D61" s="134"/>
      <c r="E61" s="312"/>
      <c r="F61" s="134"/>
      <c r="G61" s="134"/>
      <c r="H61" s="139"/>
      <c r="I61" s="139"/>
      <c r="J61" s="312"/>
    </row>
    <row r="62" spans="2:10" s="121" customFormat="1" ht="15" customHeight="1" x14ac:dyDescent="0.2">
      <c r="B62" s="427" t="s">
        <v>404</v>
      </c>
      <c r="C62" s="467"/>
      <c r="D62" s="134"/>
      <c r="E62" s="312" t="s">
        <v>385</v>
      </c>
      <c r="F62" s="134"/>
      <c r="G62" s="141"/>
      <c r="H62" s="139" t="s">
        <v>5</v>
      </c>
      <c r="I62" s="139" t="s">
        <v>18</v>
      </c>
      <c r="J62" s="312"/>
    </row>
    <row r="63" spans="2:10" s="121" customFormat="1" ht="3" customHeight="1" x14ac:dyDescent="0.2">
      <c r="B63" s="427"/>
      <c r="C63" s="467"/>
      <c r="D63" s="134"/>
      <c r="E63" s="312"/>
      <c r="F63" s="134"/>
      <c r="G63" s="134"/>
      <c r="H63" s="139"/>
      <c r="I63" s="139"/>
      <c r="J63" s="312"/>
    </row>
    <row r="64" spans="2:10" s="121" customFormat="1" ht="15" customHeight="1" x14ac:dyDescent="0.2">
      <c r="B64" s="427"/>
      <c r="C64" s="467"/>
      <c r="D64" s="134"/>
      <c r="E64" s="312" t="s">
        <v>405</v>
      </c>
      <c r="F64" s="134"/>
      <c r="G64" s="141"/>
      <c r="H64" s="139" t="s">
        <v>5</v>
      </c>
      <c r="I64" s="139" t="s">
        <v>18</v>
      </c>
      <c r="J64" s="312"/>
    </row>
    <row r="65" spans="2:10" s="121" customFormat="1" ht="3" customHeight="1" x14ac:dyDescent="0.2">
      <c r="B65" s="427"/>
      <c r="C65" s="467"/>
      <c r="D65" s="134"/>
      <c r="E65" s="312"/>
      <c r="F65" s="134"/>
      <c r="G65" s="134"/>
      <c r="H65" s="139"/>
      <c r="I65" s="139"/>
      <c r="J65" s="312"/>
    </row>
    <row r="66" spans="2:10" s="121" customFormat="1" ht="15" customHeight="1" x14ac:dyDescent="0.2">
      <c r="B66" s="427"/>
      <c r="C66" s="467"/>
      <c r="D66" s="134"/>
      <c r="E66" s="312" t="s">
        <v>406</v>
      </c>
      <c r="F66" s="134"/>
      <c r="G66" s="141"/>
      <c r="H66" s="139" t="s">
        <v>5</v>
      </c>
      <c r="I66" s="139" t="s">
        <v>18</v>
      </c>
      <c r="J66" s="312"/>
    </row>
    <row r="67" spans="2:10" s="121" customFormat="1" x14ac:dyDescent="0.2">
      <c r="B67" s="134"/>
      <c r="C67" s="134"/>
      <c r="D67" s="134"/>
      <c r="E67" s="134"/>
      <c r="F67" s="134"/>
      <c r="G67" s="134"/>
      <c r="H67" s="134"/>
      <c r="I67" s="134"/>
      <c r="J67" s="312"/>
    </row>
    <row r="68" spans="2:10" s="121" customFormat="1" ht="15" x14ac:dyDescent="0.2">
      <c r="B68" s="131" t="s">
        <v>1</v>
      </c>
      <c r="C68" s="132"/>
      <c r="D68" s="132"/>
      <c r="E68" s="132"/>
      <c r="F68" s="132"/>
      <c r="G68" s="132"/>
      <c r="H68" s="132"/>
      <c r="I68" s="132"/>
      <c r="J68" s="133"/>
    </row>
    <row r="69" spans="2:10" s="121" customFormat="1" ht="3" customHeight="1" x14ac:dyDescent="0.2">
      <c r="B69" s="134"/>
      <c r="C69" s="134"/>
      <c r="D69" s="134"/>
      <c r="E69" s="134"/>
      <c r="F69" s="134"/>
      <c r="G69" s="134"/>
      <c r="H69" s="134"/>
      <c r="I69" s="134"/>
      <c r="J69" s="238"/>
    </row>
    <row r="70" spans="2:10" s="121" customFormat="1" ht="15" x14ac:dyDescent="0.2">
      <c r="B70" s="136" t="s">
        <v>2</v>
      </c>
      <c r="C70" s="136"/>
      <c r="D70" s="136"/>
      <c r="E70" s="137" t="s">
        <v>4</v>
      </c>
      <c r="F70" s="138"/>
      <c r="G70" s="138" t="s">
        <v>6</v>
      </c>
      <c r="H70" s="138" t="s">
        <v>3</v>
      </c>
      <c r="I70" s="138" t="s">
        <v>9</v>
      </c>
      <c r="J70" s="137" t="s">
        <v>15</v>
      </c>
    </row>
    <row r="71" spans="2:10" s="121" customFormat="1" ht="3" customHeight="1" x14ac:dyDescent="0.2">
      <c r="B71" s="136"/>
      <c r="C71" s="136"/>
      <c r="D71" s="136"/>
      <c r="E71" s="137"/>
      <c r="F71" s="138"/>
      <c r="G71" s="138"/>
      <c r="H71" s="138"/>
      <c r="I71" s="138"/>
      <c r="J71" s="137"/>
    </row>
    <row r="72" spans="2:10" s="121" customFormat="1" ht="15" customHeight="1" x14ac:dyDescent="0.2">
      <c r="B72" s="161" t="s">
        <v>57</v>
      </c>
      <c r="C72" s="86"/>
      <c r="D72" s="134"/>
      <c r="E72" s="134" t="s">
        <v>44</v>
      </c>
      <c r="F72" s="134"/>
      <c r="G72" s="149" t="str">
        <f>IF(AND(ISNUMBER(TONNAGEreg_formulation),ISNUMBER(Fmainsource_formulation),ISNUMBER(Fwater_formulation),ISNUMBER(Temission_formulation)),TONNAGEreg_formulation*1000*Fmainsource_formulation*Fwater_formulation/Temission_formulation,"??")</f>
        <v>??</v>
      </c>
      <c r="H72" s="139" t="s">
        <v>16</v>
      </c>
      <c r="I72" s="139" t="s">
        <v>7</v>
      </c>
      <c r="J72" s="234" t="s">
        <v>411</v>
      </c>
    </row>
    <row r="73" spans="2:10" s="121" customFormat="1" ht="3" customHeight="1" x14ac:dyDescent="0.2">
      <c r="B73" s="161"/>
      <c r="C73" s="86"/>
      <c r="D73" s="134"/>
      <c r="E73" s="134"/>
      <c r="F73" s="134"/>
      <c r="G73" s="134"/>
      <c r="H73" s="139"/>
      <c r="I73" s="139"/>
      <c r="J73" s="234"/>
    </row>
    <row r="74" spans="2:10" s="121" customFormat="1" ht="15" x14ac:dyDescent="0.2">
      <c r="B74" s="161" t="s">
        <v>408</v>
      </c>
      <c r="C74" s="86"/>
      <c r="D74" s="134"/>
      <c r="E74" s="134" t="s">
        <v>296</v>
      </c>
      <c r="F74" s="134"/>
      <c r="G74" s="149" t="str">
        <f>IF(AND(ISNUMBER(TONNAGEreg_formulation),ISNUMBER(Fmainsource_formulation),ISNUMBER(Fair_formulation),ISNUMBER(Temission_formulation)),TONNAGEreg_formulation*1000*Fmainsource_formulation*Fair_formulation/Temission_formulation,"??")</f>
        <v>??</v>
      </c>
      <c r="H74" s="139" t="s">
        <v>16</v>
      </c>
      <c r="I74" s="139" t="s">
        <v>7</v>
      </c>
      <c r="J74" s="234" t="s">
        <v>412</v>
      </c>
    </row>
    <row r="75" spans="2:10" s="121" customFormat="1" ht="3" customHeight="1" x14ac:dyDescent="0.2">
      <c r="B75" s="161"/>
      <c r="C75" s="86"/>
      <c r="D75" s="134"/>
      <c r="E75" s="134"/>
      <c r="F75" s="134"/>
      <c r="G75" s="134"/>
      <c r="H75" s="139"/>
      <c r="I75" s="139"/>
      <c r="J75" s="234"/>
    </row>
    <row r="76" spans="2:10" s="121" customFormat="1" ht="15" x14ac:dyDescent="0.2">
      <c r="B76" s="161" t="s">
        <v>409</v>
      </c>
      <c r="C76" s="86"/>
      <c r="D76" s="134"/>
      <c r="E76" s="134" t="s">
        <v>410</v>
      </c>
      <c r="F76" s="134"/>
      <c r="G76" s="149" t="str">
        <f>IF(AND(ISNUMBER(TONNAGEreg_formulation),ISNUMBER(Fmainsource_formulation),ISNUMBER(Temission_formulation)),TONNAGEreg_formulation*1000*Fmainsource_formulation*Fsoil_formulation/Temission_formulation,"??")</f>
        <v>??</v>
      </c>
      <c r="H76" s="139" t="s">
        <v>16</v>
      </c>
      <c r="I76" s="139" t="s">
        <v>7</v>
      </c>
      <c r="J76" s="234" t="s">
        <v>413</v>
      </c>
    </row>
    <row r="77" spans="2:10" s="121" customFormat="1" ht="3" customHeight="1" x14ac:dyDescent="0.2">
      <c r="B77" s="161"/>
      <c r="C77" s="86"/>
      <c r="D77" s="134"/>
      <c r="E77" s="134"/>
      <c r="F77" s="134"/>
      <c r="G77" s="134"/>
      <c r="H77" s="139"/>
      <c r="I77" s="139"/>
      <c r="J77" s="313"/>
    </row>
    <row r="78" spans="2:10" s="121" customFormat="1" x14ac:dyDescent="0.2">
      <c r="B78" s="162" t="s">
        <v>407</v>
      </c>
      <c r="C78" s="86"/>
      <c r="D78" s="134"/>
      <c r="E78" s="134"/>
      <c r="F78" s="134"/>
      <c r="G78" s="134"/>
      <c r="H78" s="139"/>
      <c r="I78" s="139"/>
      <c r="J78" s="313"/>
    </row>
    <row r="79" spans="2:10" s="121" customFormat="1" ht="15" customHeight="1" x14ac:dyDescent="0.2">
      <c r="B79" s="161" t="s">
        <v>386</v>
      </c>
      <c r="C79" s="86"/>
      <c r="D79" s="134"/>
      <c r="E79" s="134" t="s">
        <v>387</v>
      </c>
      <c r="F79" s="134"/>
      <c r="G79" s="149" t="str">
        <f>IF(AND(ISNUMBER(TONNAGEreg_formulation),ISNUMBER(Fmainsource_formulation),ISNUMBER(Fwater_ref)),TONNAGEreg_formulation*1000*Fmainsource_formulation*Fwater_ref/Temission_formulation,"??")</f>
        <v>??</v>
      </c>
      <c r="H79" s="139" t="s">
        <v>16</v>
      </c>
      <c r="I79" s="139" t="s">
        <v>7</v>
      </c>
      <c r="J79" s="313" t="s">
        <v>546</v>
      </c>
    </row>
    <row r="80" spans="2:10" s="121" customFormat="1" ht="3" customHeight="1" x14ac:dyDescent="0.2">
      <c r="B80" s="161"/>
      <c r="C80" s="86"/>
      <c r="D80" s="134"/>
      <c r="E80" s="134"/>
      <c r="F80" s="134"/>
      <c r="G80" s="134"/>
      <c r="H80" s="139"/>
      <c r="I80" s="139"/>
      <c r="J80" s="313"/>
    </row>
    <row r="81" spans="2:10" s="121" customFormat="1" ht="15" customHeight="1" x14ac:dyDescent="0.2">
      <c r="B81" s="161" t="s">
        <v>414</v>
      </c>
      <c r="C81" s="86"/>
      <c r="D81" s="134"/>
      <c r="E81" s="134" t="s">
        <v>416</v>
      </c>
      <c r="F81" s="134"/>
      <c r="G81" s="149" t="str">
        <f>IF(AND(ISNUMBER(TONNAGEreg_formulation),ISNUMBER(Fmainsource_formulation),ISNUMBER(Fair_ref)),TONNAGEreg_formulation*1000*Fmainsource_formulation*Fair_ref/Temission_formulation,"??")</f>
        <v>??</v>
      </c>
      <c r="H81" s="139" t="s">
        <v>16</v>
      </c>
      <c r="I81" s="139" t="s">
        <v>7</v>
      </c>
      <c r="J81" s="313" t="s">
        <v>547</v>
      </c>
    </row>
    <row r="82" spans="2:10" s="121" customFormat="1" ht="3" customHeight="1" x14ac:dyDescent="0.2">
      <c r="B82" s="161"/>
      <c r="C82" s="86"/>
      <c r="D82" s="134"/>
      <c r="E82" s="134"/>
      <c r="F82" s="134"/>
      <c r="G82" s="134"/>
      <c r="H82" s="139"/>
      <c r="I82" s="139"/>
      <c r="J82" s="313"/>
    </row>
    <row r="83" spans="2:10" s="121" customFormat="1" ht="15" customHeight="1" x14ac:dyDescent="0.2">
      <c r="B83" s="161" t="s">
        <v>415</v>
      </c>
      <c r="C83" s="86"/>
      <c r="D83" s="134"/>
      <c r="E83" s="134" t="s">
        <v>417</v>
      </c>
      <c r="F83" s="134"/>
      <c r="G83" s="149" t="str">
        <f>IF(AND(ISNUMBER(TONNAGEreg_formulation),ISNUMBER(Fmainsource_formulation),ISNUMBER(Fsoil_ref)),TONNAGEreg_formulation*1000*Fmainsource_formulation*Fsoil_ref/Temission_formulation,"??")</f>
        <v>??</v>
      </c>
      <c r="H83" s="139" t="s">
        <v>16</v>
      </c>
      <c r="I83" s="139" t="s">
        <v>7</v>
      </c>
      <c r="J83" s="313" t="s">
        <v>548</v>
      </c>
    </row>
    <row r="84" spans="2:10" s="121" customFormat="1" x14ac:dyDescent="0.2">
      <c r="B84" s="161"/>
      <c r="C84" s="86"/>
      <c r="D84" s="134"/>
      <c r="E84" s="134"/>
      <c r="F84" s="134"/>
      <c r="G84" s="134"/>
      <c r="H84" s="139"/>
      <c r="I84" s="139"/>
      <c r="J84" s="313"/>
    </row>
    <row r="85" spans="2:10" s="121" customFormat="1" x14ac:dyDescent="0.2">
      <c r="B85" s="143" t="s">
        <v>10</v>
      </c>
      <c r="J85" s="146"/>
    </row>
    <row r="86" spans="2:10" s="121" customFormat="1" x14ac:dyDescent="0.2">
      <c r="J86" s="146"/>
    </row>
    <row r="87" spans="2:10" s="121" customFormat="1" x14ac:dyDescent="0.2">
      <c r="B87" s="257" t="s">
        <v>422</v>
      </c>
      <c r="J87" s="146"/>
    </row>
    <row r="88" spans="2:10" s="121" customFormat="1" x14ac:dyDescent="0.2">
      <c r="B88" s="257"/>
      <c r="J88" s="146"/>
    </row>
    <row r="89" spans="2:10" s="121" customFormat="1" ht="14.25" x14ac:dyDescent="0.2">
      <c r="B89" s="232"/>
      <c r="C89" s="232"/>
      <c r="D89" s="232"/>
      <c r="E89" s="232"/>
      <c r="F89" s="232"/>
      <c r="G89" s="232"/>
      <c r="H89" s="232"/>
      <c r="I89" s="232"/>
      <c r="J89" s="232"/>
    </row>
    <row r="90" spans="2:10" s="121" customFormat="1" ht="14.25" x14ac:dyDescent="0.2">
      <c r="B90" s="435" t="s">
        <v>381</v>
      </c>
      <c r="C90" s="436"/>
      <c r="D90" s="436"/>
      <c r="E90" s="436"/>
      <c r="F90" s="436"/>
      <c r="G90" s="436"/>
      <c r="H90" s="436"/>
      <c r="I90" s="436"/>
      <c r="J90" s="436"/>
    </row>
    <row r="91" spans="2:10" s="121" customFormat="1" ht="14.25" x14ac:dyDescent="0.2">
      <c r="B91" s="232"/>
      <c r="C91" s="232"/>
      <c r="D91" s="232"/>
      <c r="E91" s="232"/>
      <c r="F91" s="232"/>
      <c r="G91" s="232"/>
      <c r="H91" s="232"/>
      <c r="I91" s="232"/>
      <c r="J91" s="232"/>
    </row>
    <row r="92" spans="2:10" s="121" customFormat="1" ht="14.25" x14ac:dyDescent="0.2">
      <c r="B92" s="432" t="s">
        <v>425</v>
      </c>
      <c r="C92" s="433"/>
      <c r="D92" s="433"/>
      <c r="E92" s="433"/>
      <c r="F92" s="433"/>
      <c r="G92" s="433"/>
      <c r="H92" s="433"/>
      <c r="I92" s="433"/>
      <c r="J92" s="433"/>
    </row>
    <row r="93" spans="2:10" s="121" customFormat="1" ht="14.25" x14ac:dyDescent="0.2">
      <c r="B93" s="232"/>
      <c r="C93" s="232"/>
      <c r="D93" s="232"/>
      <c r="E93" s="232"/>
      <c r="F93" s="232"/>
      <c r="G93" s="232"/>
      <c r="H93" s="232"/>
      <c r="I93" s="232"/>
      <c r="J93" s="232"/>
    </row>
    <row r="94" spans="2:10" s="121" customFormat="1" ht="18" x14ac:dyDescent="0.2">
      <c r="B94" s="437" t="s">
        <v>590</v>
      </c>
      <c r="C94" s="437"/>
      <c r="D94" s="437"/>
      <c r="E94" s="437"/>
      <c r="F94" s="437"/>
      <c r="G94" s="437"/>
      <c r="H94" s="437"/>
      <c r="I94" s="437"/>
      <c r="J94" s="437"/>
    </row>
    <row r="95" spans="2:10" s="121" customFormat="1" ht="3" customHeight="1" x14ac:dyDescent="0.2">
      <c r="B95" s="172"/>
      <c r="C95" s="172"/>
      <c r="D95" s="172"/>
      <c r="E95" s="172"/>
      <c r="F95" s="172"/>
      <c r="G95" s="172"/>
      <c r="H95" s="172"/>
      <c r="I95" s="172"/>
      <c r="J95" s="172"/>
    </row>
    <row r="96" spans="2:10" s="121" customFormat="1" ht="14.25" x14ac:dyDescent="0.2">
      <c r="B96" s="129" t="s">
        <v>8</v>
      </c>
      <c r="C96" s="172"/>
      <c r="D96" s="172"/>
      <c r="E96" s="172"/>
      <c r="F96" s="172"/>
      <c r="G96" s="172"/>
      <c r="H96" s="172"/>
      <c r="I96" s="172"/>
      <c r="J96" s="172"/>
    </row>
    <row r="97" spans="2:10" s="348" customFormat="1" ht="3" customHeight="1" x14ac:dyDescent="0.2">
      <c r="B97" s="350"/>
      <c r="C97" s="359"/>
      <c r="D97" s="359"/>
      <c r="E97" s="359"/>
      <c r="F97" s="359"/>
      <c r="G97" s="359"/>
      <c r="H97" s="359"/>
      <c r="I97" s="359"/>
      <c r="J97" s="359"/>
    </row>
    <row r="98" spans="2:10" s="348" customFormat="1" ht="14.25" customHeight="1" x14ac:dyDescent="0.2">
      <c r="B98" s="357" t="s">
        <v>612</v>
      </c>
      <c r="C98" s="356"/>
      <c r="D98" s="356"/>
      <c r="E98" s="356"/>
      <c r="F98" s="356"/>
      <c r="G98" s="356"/>
      <c r="H98" s="356"/>
      <c r="I98" s="356"/>
      <c r="J98" s="356"/>
    </row>
    <row r="99" spans="2:10" s="348" customFormat="1" ht="14.25" customHeight="1" x14ac:dyDescent="0.2">
      <c r="B99" s="469" t="s">
        <v>613</v>
      </c>
      <c r="C99" s="469"/>
      <c r="D99" s="469"/>
      <c r="E99" s="469"/>
      <c r="F99" s="469"/>
      <c r="G99" s="469"/>
      <c r="H99" s="469"/>
      <c r="I99" s="469"/>
      <c r="J99" s="469"/>
    </row>
    <row r="100" spans="2:10" s="348" customFormat="1" ht="14.25" customHeight="1" x14ac:dyDescent="0.2">
      <c r="B100" s="469" t="s">
        <v>614</v>
      </c>
      <c r="C100" s="469"/>
      <c r="D100" s="469"/>
      <c r="E100" s="469"/>
      <c r="F100" s="469"/>
      <c r="G100" s="469"/>
      <c r="H100" s="469"/>
      <c r="I100" s="469"/>
      <c r="J100" s="469"/>
    </row>
    <row r="101" spans="2:10" s="348" customFormat="1" ht="14.25" customHeight="1" x14ac:dyDescent="0.2">
      <c r="B101" s="469" t="s">
        <v>615</v>
      </c>
      <c r="C101" s="469"/>
      <c r="D101" s="469"/>
      <c r="E101" s="469"/>
      <c r="F101" s="469"/>
      <c r="G101" s="469"/>
      <c r="H101" s="469"/>
      <c r="I101" s="469"/>
      <c r="J101" s="469"/>
    </row>
    <row r="102" spans="2:10" s="121" customFormat="1" ht="3" customHeight="1" x14ac:dyDescent="0.2">
      <c r="B102" s="172"/>
      <c r="C102" s="172"/>
      <c r="D102" s="172"/>
      <c r="E102" s="172"/>
      <c r="F102" s="172"/>
      <c r="G102" s="172"/>
      <c r="H102" s="172"/>
      <c r="I102" s="172"/>
      <c r="J102" s="172"/>
    </row>
    <row r="103" spans="2:10" s="121" customFormat="1" ht="15" x14ac:dyDescent="0.2">
      <c r="B103" s="131" t="s">
        <v>0</v>
      </c>
      <c r="C103" s="132"/>
      <c r="D103" s="132"/>
      <c r="E103" s="132"/>
      <c r="F103" s="132"/>
      <c r="G103" s="132"/>
      <c r="H103" s="132"/>
      <c r="I103" s="132"/>
      <c r="J103" s="133"/>
    </row>
    <row r="104" spans="2:10" s="121" customFormat="1" ht="3" customHeight="1" x14ac:dyDescent="0.2">
      <c r="B104" s="134"/>
      <c r="C104" s="134"/>
      <c r="D104" s="134"/>
      <c r="E104" s="134"/>
      <c r="F104" s="134"/>
      <c r="G104" s="134"/>
      <c r="H104" s="134"/>
      <c r="I104" s="134"/>
      <c r="J104" s="171"/>
    </row>
    <row r="105" spans="2:10" s="121" customFormat="1" ht="15" x14ac:dyDescent="0.2">
      <c r="B105" s="136" t="s">
        <v>2</v>
      </c>
      <c r="C105" s="136"/>
      <c r="D105" s="136"/>
      <c r="E105" s="137" t="s">
        <v>4</v>
      </c>
      <c r="F105" s="138"/>
      <c r="G105" s="138" t="s">
        <v>6</v>
      </c>
      <c r="H105" s="138" t="s">
        <v>3</v>
      </c>
      <c r="I105" s="138" t="s">
        <v>9</v>
      </c>
      <c r="J105" s="137" t="s">
        <v>15</v>
      </c>
    </row>
    <row r="106" spans="2:10" s="121" customFormat="1" ht="3" customHeight="1" thickBot="1" x14ac:dyDescent="0.25">
      <c r="B106" s="134"/>
      <c r="C106" s="134"/>
      <c r="D106" s="134"/>
      <c r="E106" s="134"/>
      <c r="F106" s="134"/>
      <c r="G106" s="134"/>
      <c r="H106" s="134"/>
      <c r="I106" s="134"/>
      <c r="J106" s="171"/>
    </row>
    <row r="107" spans="2:10" s="121" customFormat="1" ht="27" thickTop="1" thickBot="1" x14ac:dyDescent="0.25">
      <c r="B107" s="335" t="s">
        <v>286</v>
      </c>
      <c r="C107" s="336" t="s">
        <v>298</v>
      </c>
      <c r="D107" s="134"/>
      <c r="E107" s="170" t="s">
        <v>289</v>
      </c>
      <c r="F107" s="134"/>
      <c r="G107" s="338" t="str">
        <f>INDEX('Pick-lists &amp; Defaults'!C108:C114,MATCH('PT6-paper'!C107,Select_type_of_paper,0))</f>
        <v>??</v>
      </c>
      <c r="H107" s="139" t="s">
        <v>287</v>
      </c>
      <c r="I107" s="148" t="s">
        <v>237</v>
      </c>
      <c r="J107" s="337" t="s">
        <v>605</v>
      </c>
    </row>
    <row r="108" spans="2:10" s="121" customFormat="1" ht="3" customHeight="1" thickTop="1" x14ac:dyDescent="0.2">
      <c r="B108" s="134"/>
      <c r="C108" s="134"/>
      <c r="D108" s="134"/>
      <c r="E108" s="170"/>
      <c r="F108" s="134"/>
      <c r="G108" s="139"/>
      <c r="H108" s="139"/>
      <c r="I108" s="139"/>
      <c r="J108" s="171"/>
    </row>
    <row r="109" spans="2:10" s="121" customFormat="1" ht="30" customHeight="1" x14ac:dyDescent="0.2">
      <c r="B109" s="431" t="s">
        <v>288</v>
      </c>
      <c r="C109" s="431"/>
      <c r="D109" s="134"/>
      <c r="E109" s="171" t="s">
        <v>290</v>
      </c>
      <c r="F109" s="134"/>
      <c r="G109" s="354"/>
      <c r="H109" s="139" t="s">
        <v>291</v>
      </c>
      <c r="I109" s="148" t="s">
        <v>18</v>
      </c>
      <c r="J109" s="171"/>
    </row>
    <row r="110" spans="2:10" s="121" customFormat="1" ht="3" customHeight="1" thickBot="1" x14ac:dyDescent="0.25">
      <c r="B110" s="134"/>
      <c r="C110" s="134"/>
      <c r="D110" s="134"/>
      <c r="E110" s="171"/>
      <c r="F110" s="134"/>
      <c r="G110" s="139"/>
      <c r="H110" s="139"/>
      <c r="I110" s="139"/>
      <c r="J110" s="171"/>
    </row>
    <row r="111" spans="2:10" s="121" customFormat="1" ht="17.25" thickTop="1" thickBot="1" x14ac:dyDescent="0.25">
      <c r="B111" s="351" t="s">
        <v>292</v>
      </c>
      <c r="C111" s="352" t="s">
        <v>608</v>
      </c>
      <c r="D111" s="134"/>
      <c r="E111" s="170" t="s">
        <v>293</v>
      </c>
      <c r="F111" s="134"/>
      <c r="G111" s="355" t="str">
        <f>INDEX('Pick-lists &amp; Defaults'!C118:C122,MATCH(C111,volatility,0))</f>
        <v>??</v>
      </c>
      <c r="H111" s="142" t="s">
        <v>5</v>
      </c>
      <c r="I111" s="148" t="str">
        <f>IF(Fevap=0.0005, "D", "S")</f>
        <v>S</v>
      </c>
      <c r="J111" s="171"/>
    </row>
    <row r="112" spans="2:10" s="121" customFormat="1" ht="3" customHeight="1" thickTop="1" x14ac:dyDescent="0.2">
      <c r="B112" s="134"/>
      <c r="C112" s="134"/>
      <c r="D112" s="134"/>
      <c r="E112" s="171"/>
      <c r="F112" s="134"/>
      <c r="G112" s="139"/>
      <c r="H112" s="139"/>
      <c r="I112" s="139"/>
      <c r="J112" s="171"/>
    </row>
    <row r="113" spans="2:10" s="121" customFormat="1" x14ac:dyDescent="0.2">
      <c r="B113" s="431" t="s">
        <v>294</v>
      </c>
      <c r="C113" s="431"/>
      <c r="D113" s="134"/>
      <c r="E113" s="169" t="s">
        <v>295</v>
      </c>
      <c r="F113" s="134"/>
      <c r="G113" s="139">
        <v>0</v>
      </c>
      <c r="H113" s="142" t="s">
        <v>5</v>
      </c>
      <c r="I113" s="148" t="str">
        <f>IF(Fdecomp_drying=0, "D", "S")</f>
        <v>D</v>
      </c>
      <c r="J113" s="171"/>
    </row>
    <row r="114" spans="2:10" s="121" customFormat="1" x14ac:dyDescent="0.2">
      <c r="B114" s="134"/>
      <c r="C114" s="134"/>
      <c r="D114" s="134"/>
      <c r="E114" s="134"/>
      <c r="F114" s="134"/>
      <c r="G114" s="134"/>
      <c r="H114" s="134"/>
      <c r="I114" s="134"/>
      <c r="J114" s="171"/>
    </row>
    <row r="115" spans="2:10" s="121" customFormat="1" ht="15" x14ac:dyDescent="0.2">
      <c r="B115" s="131" t="s">
        <v>1</v>
      </c>
      <c r="C115" s="132"/>
      <c r="D115" s="132"/>
      <c r="E115" s="132"/>
      <c r="F115" s="132"/>
      <c r="G115" s="132"/>
      <c r="H115" s="132"/>
      <c r="I115" s="132"/>
      <c r="J115" s="133"/>
    </row>
    <row r="116" spans="2:10" s="121" customFormat="1" ht="3" customHeight="1" x14ac:dyDescent="0.2">
      <c r="B116" s="134"/>
      <c r="C116" s="134"/>
      <c r="D116" s="134"/>
      <c r="E116" s="134"/>
      <c r="F116" s="134"/>
      <c r="G116" s="134"/>
      <c r="H116" s="134"/>
      <c r="I116" s="134"/>
      <c r="J116" s="171"/>
    </row>
    <row r="117" spans="2:10" s="121" customFormat="1" ht="15" x14ac:dyDescent="0.2">
      <c r="B117" s="136" t="s">
        <v>2</v>
      </c>
      <c r="C117" s="136"/>
      <c r="D117" s="136"/>
      <c r="E117" s="137" t="s">
        <v>4</v>
      </c>
      <c r="F117" s="138"/>
      <c r="G117" s="138" t="s">
        <v>6</v>
      </c>
      <c r="H117" s="138" t="s">
        <v>3</v>
      </c>
      <c r="I117" s="138" t="s">
        <v>9</v>
      </c>
      <c r="J117" s="137" t="s">
        <v>15</v>
      </c>
    </row>
    <row r="118" spans="2:10" s="121" customFormat="1" ht="3" customHeight="1" x14ac:dyDescent="0.2">
      <c r="B118" s="136"/>
      <c r="C118" s="136"/>
      <c r="D118" s="136"/>
      <c r="E118" s="137"/>
      <c r="F118" s="138"/>
      <c r="G118" s="138"/>
      <c r="H118" s="138"/>
      <c r="I118" s="138"/>
      <c r="J118" s="137"/>
    </row>
    <row r="119" spans="2:10" s="121" customFormat="1" ht="15" x14ac:dyDescent="0.2">
      <c r="B119" s="427" t="s">
        <v>464</v>
      </c>
      <c r="C119" s="427"/>
      <c r="D119" s="134"/>
      <c r="E119" s="134" t="s">
        <v>296</v>
      </c>
      <c r="F119" s="134"/>
      <c r="G119" s="149" t="str">
        <f>IF(AND(ISNUMBER(Qpaper_papermaking),ISNUMBER(Qactive),ISNUMBER(Fevap)),Qpaper_papermaking*Qactive*Fevap*(1-Fdecomp_drying),"??")</f>
        <v>??</v>
      </c>
      <c r="H119" s="139" t="s">
        <v>16</v>
      </c>
      <c r="I119" s="139" t="s">
        <v>7</v>
      </c>
      <c r="J119" s="174" t="s">
        <v>297</v>
      </c>
    </row>
    <row r="120" spans="2:10" s="121" customFormat="1" x14ac:dyDescent="0.2">
      <c r="B120" s="161"/>
      <c r="C120" s="86"/>
      <c r="D120" s="134"/>
      <c r="E120" s="134"/>
      <c r="F120" s="134"/>
      <c r="G120" s="134"/>
      <c r="H120" s="139"/>
      <c r="I120" s="139"/>
      <c r="J120" s="173"/>
    </row>
    <row r="121" spans="2:10" s="121" customFormat="1" x14ac:dyDescent="0.2">
      <c r="B121" s="143" t="s">
        <v>10</v>
      </c>
      <c r="J121" s="146"/>
    </row>
    <row r="122" spans="2:10" s="121" customFormat="1" x14ac:dyDescent="0.2">
      <c r="J122" s="146"/>
    </row>
    <row r="123" spans="2:10" s="121" customFormat="1" x14ac:dyDescent="0.2">
      <c r="B123" s="257" t="s">
        <v>422</v>
      </c>
      <c r="J123" s="146"/>
    </row>
    <row r="124" spans="2:10" s="348" customFormat="1" x14ac:dyDescent="0.2">
      <c r="B124" s="257"/>
      <c r="J124" s="146"/>
    </row>
    <row r="125" spans="2:10" s="121" customFormat="1" x14ac:dyDescent="0.2">
      <c r="B125" s="168"/>
      <c r="C125" s="168"/>
      <c r="D125" s="168"/>
      <c r="E125" s="168"/>
      <c r="F125" s="168"/>
      <c r="G125" s="168"/>
      <c r="H125" s="168"/>
      <c r="I125" s="168"/>
      <c r="J125" s="168"/>
    </row>
    <row r="126" spans="2:10" s="121" customFormat="1" ht="18" x14ac:dyDescent="0.2">
      <c r="B126" s="437" t="s">
        <v>591</v>
      </c>
      <c r="C126" s="437"/>
      <c r="D126" s="437"/>
      <c r="E126" s="437"/>
      <c r="F126" s="437"/>
      <c r="G126" s="437"/>
      <c r="H126" s="437"/>
      <c r="I126" s="437"/>
      <c r="J126" s="437"/>
    </row>
    <row r="127" spans="2:10" s="121" customFormat="1" ht="3" customHeight="1" x14ac:dyDescent="0.2">
      <c r="B127" s="172"/>
      <c r="C127" s="172"/>
      <c r="D127" s="172"/>
      <c r="E127" s="172"/>
      <c r="F127" s="172"/>
      <c r="G127" s="172"/>
      <c r="H127" s="172"/>
      <c r="I127" s="172"/>
      <c r="J127" s="172"/>
    </row>
    <row r="128" spans="2:10" s="121" customFormat="1" ht="14.25" x14ac:dyDescent="0.2">
      <c r="B128" s="129" t="s">
        <v>8</v>
      </c>
      <c r="C128" s="172"/>
      <c r="D128" s="172"/>
      <c r="E128" s="172"/>
      <c r="F128" s="172"/>
      <c r="G128" s="172"/>
      <c r="H128" s="172"/>
      <c r="I128" s="172"/>
      <c r="J128" s="172"/>
    </row>
    <row r="129" spans="2:10" s="121" customFormat="1" ht="14.25" customHeight="1" x14ac:dyDescent="0.2">
      <c r="B129" s="469" t="s">
        <v>439</v>
      </c>
      <c r="C129" s="469"/>
      <c r="D129" s="469"/>
      <c r="E129" s="469"/>
      <c r="F129" s="469"/>
      <c r="G129" s="469"/>
      <c r="H129" s="469"/>
      <c r="I129" s="469"/>
      <c r="J129" s="469"/>
    </row>
    <row r="130" spans="2:10" s="121" customFormat="1" ht="14.25" customHeight="1" x14ac:dyDescent="0.2">
      <c r="B130" s="469" t="s">
        <v>440</v>
      </c>
      <c r="C130" s="469"/>
      <c r="D130" s="469"/>
      <c r="E130" s="469"/>
      <c r="F130" s="469"/>
      <c r="G130" s="469"/>
      <c r="H130" s="469"/>
      <c r="I130" s="469"/>
      <c r="J130" s="469"/>
    </row>
    <row r="131" spans="2:10" s="121" customFormat="1" ht="14.25" customHeight="1" x14ac:dyDescent="0.2">
      <c r="B131" s="469" t="s">
        <v>441</v>
      </c>
      <c r="C131" s="469"/>
      <c r="D131" s="469"/>
      <c r="E131" s="469"/>
      <c r="F131" s="469"/>
      <c r="G131" s="469"/>
      <c r="H131" s="469"/>
      <c r="I131" s="469"/>
      <c r="J131" s="469"/>
    </row>
    <row r="132" spans="2:10" s="121" customFormat="1" ht="14.25" customHeight="1" x14ac:dyDescent="0.2">
      <c r="B132" s="469" t="s">
        <v>442</v>
      </c>
      <c r="C132" s="469"/>
      <c r="D132" s="469"/>
      <c r="E132" s="469"/>
      <c r="F132" s="469"/>
      <c r="G132" s="469"/>
      <c r="H132" s="469"/>
      <c r="I132" s="469"/>
      <c r="J132" s="469"/>
    </row>
    <row r="133" spans="2:10" s="121" customFormat="1" ht="3" customHeight="1" x14ac:dyDescent="0.2">
      <c r="B133" s="172"/>
      <c r="C133" s="172"/>
      <c r="D133" s="172"/>
      <c r="E133" s="172"/>
      <c r="F133" s="172"/>
      <c r="G133" s="172"/>
      <c r="H133" s="172"/>
      <c r="I133" s="172"/>
      <c r="J133" s="172"/>
    </row>
    <row r="134" spans="2:10" s="121" customFormat="1" ht="15" x14ac:dyDescent="0.2">
      <c r="B134" s="131" t="s">
        <v>0</v>
      </c>
      <c r="C134" s="132"/>
      <c r="D134" s="132"/>
      <c r="E134" s="132"/>
      <c r="F134" s="132"/>
      <c r="G134" s="132"/>
      <c r="H134" s="132"/>
      <c r="I134" s="132"/>
      <c r="J134" s="133"/>
    </row>
    <row r="135" spans="2:10" s="121" customFormat="1" ht="3" customHeight="1" x14ac:dyDescent="0.2">
      <c r="B135" s="134"/>
      <c r="C135" s="134"/>
      <c r="D135" s="134"/>
      <c r="E135" s="134"/>
      <c r="F135" s="134"/>
      <c r="G135" s="134"/>
      <c r="H135" s="134"/>
      <c r="I135" s="134"/>
      <c r="J135" s="171"/>
    </row>
    <row r="136" spans="2:10" s="121" customFormat="1" ht="15" x14ac:dyDescent="0.2">
      <c r="B136" s="136" t="s">
        <v>2</v>
      </c>
      <c r="C136" s="136"/>
      <c r="D136" s="136"/>
      <c r="E136" s="137" t="s">
        <v>4</v>
      </c>
      <c r="F136" s="138"/>
      <c r="G136" s="138" t="s">
        <v>6</v>
      </c>
      <c r="H136" s="138" t="s">
        <v>3</v>
      </c>
      <c r="I136" s="138" t="s">
        <v>9</v>
      </c>
      <c r="J136" s="137" t="s">
        <v>15</v>
      </c>
    </row>
    <row r="137" spans="2:10" s="121" customFormat="1" ht="3" customHeight="1" thickBot="1" x14ac:dyDescent="0.25">
      <c r="B137" s="136"/>
      <c r="C137" s="136"/>
      <c r="D137" s="136"/>
      <c r="E137" s="137"/>
      <c r="F137" s="138"/>
      <c r="G137" s="138"/>
      <c r="H137" s="138"/>
      <c r="I137" s="138"/>
      <c r="J137" s="137"/>
    </row>
    <row r="138" spans="2:10" s="121" customFormat="1" ht="17.25" thickTop="1" thickBot="1" x14ac:dyDescent="0.25">
      <c r="B138" s="478" t="s">
        <v>318</v>
      </c>
      <c r="C138" s="478"/>
      <c r="D138" s="136"/>
      <c r="E138" s="67" t="s">
        <v>320</v>
      </c>
      <c r="F138" s="138"/>
      <c r="G138" s="138"/>
      <c r="H138" s="138"/>
      <c r="I138" s="138"/>
      <c r="J138" s="137"/>
    </row>
    <row r="139" spans="2:10" s="121" customFormat="1" ht="3" customHeight="1" thickTop="1" thickBot="1" x14ac:dyDescent="0.25">
      <c r="B139" s="134"/>
      <c r="C139" s="134"/>
      <c r="D139" s="134"/>
      <c r="E139" s="134"/>
      <c r="F139" s="134"/>
      <c r="G139" s="134"/>
      <c r="H139" s="134"/>
      <c r="I139" s="134"/>
      <c r="J139" s="171"/>
    </row>
    <row r="140" spans="2:10" s="121" customFormat="1" ht="17.25" thickTop="1" thickBot="1" x14ac:dyDescent="0.25">
      <c r="B140" s="134" t="s">
        <v>298</v>
      </c>
      <c r="C140" s="67" t="s">
        <v>298</v>
      </c>
      <c r="D140" s="134"/>
      <c r="E140" s="134"/>
      <c r="F140" s="134"/>
      <c r="G140" s="134"/>
      <c r="H140" s="134"/>
      <c r="I140" s="134"/>
      <c r="J140" s="184"/>
    </row>
    <row r="141" spans="2:10" s="121" customFormat="1" ht="3" customHeight="1" thickTop="1" x14ac:dyDescent="0.2">
      <c r="B141" s="134"/>
      <c r="C141" s="134"/>
      <c r="D141" s="134"/>
      <c r="E141" s="134"/>
      <c r="F141" s="134"/>
      <c r="G141" s="134"/>
      <c r="H141" s="134"/>
      <c r="I141" s="134"/>
      <c r="J141" s="184"/>
    </row>
    <row r="142" spans="2:10" s="121" customFormat="1" ht="15" x14ac:dyDescent="0.2">
      <c r="B142" s="426" t="s">
        <v>286</v>
      </c>
      <c r="C142" s="426"/>
      <c r="D142" s="134"/>
      <c r="E142" s="170" t="s">
        <v>289</v>
      </c>
      <c r="F142" s="134"/>
      <c r="G142" s="36" t="str">
        <f>INDEX('Pick-lists &amp; Defaults'!C126:C129,MATCH(select_paper,paper,0))</f>
        <v>??</v>
      </c>
      <c r="H142" s="139" t="s">
        <v>287</v>
      </c>
      <c r="I142" s="148" t="s">
        <v>237</v>
      </c>
      <c r="J142" s="171" t="s">
        <v>592</v>
      </c>
    </row>
    <row r="143" spans="2:10" s="121" customFormat="1" ht="3" customHeight="1" x14ac:dyDescent="0.2">
      <c r="B143" s="134"/>
      <c r="C143" s="134"/>
      <c r="D143" s="134"/>
      <c r="E143" s="170"/>
      <c r="F143" s="134"/>
      <c r="G143" s="139"/>
      <c r="H143" s="139"/>
      <c r="I143" s="139"/>
      <c r="J143" s="171"/>
    </row>
    <row r="144" spans="2:10" s="121" customFormat="1" ht="15" x14ac:dyDescent="0.2">
      <c r="B144" s="431" t="s">
        <v>304</v>
      </c>
      <c r="C144" s="431"/>
      <c r="D144" s="134"/>
      <c r="E144" s="171" t="s">
        <v>305</v>
      </c>
      <c r="F144" s="134"/>
      <c r="G144" s="355" t="str">
        <f>INDEX('Pick-lists &amp; Defaults'!D126:D129,MATCH(select_paper,paper,0))</f>
        <v>??</v>
      </c>
      <c r="H144" s="139" t="s">
        <v>291</v>
      </c>
      <c r="I144" s="148" t="s">
        <v>18</v>
      </c>
      <c r="J144" s="184"/>
    </row>
    <row r="145" spans="2:10" s="121" customFormat="1" ht="3" customHeight="1" x14ac:dyDescent="0.2">
      <c r="B145" s="134"/>
      <c r="C145" s="134"/>
      <c r="D145" s="134"/>
      <c r="E145" s="171"/>
      <c r="F145" s="134"/>
      <c r="G145" s="139"/>
      <c r="H145" s="139"/>
      <c r="I145" s="139"/>
      <c r="J145" s="171"/>
    </row>
    <row r="146" spans="2:10" s="121" customFormat="1" x14ac:dyDescent="0.2">
      <c r="B146" s="431" t="s">
        <v>306</v>
      </c>
      <c r="C146" s="431"/>
      <c r="D146" s="134"/>
      <c r="E146" s="170" t="s">
        <v>307</v>
      </c>
      <c r="F146" s="134"/>
      <c r="G146" s="139">
        <v>1</v>
      </c>
      <c r="H146" s="142" t="s">
        <v>5</v>
      </c>
      <c r="I146" s="148" t="str">
        <f>IF(Fai=1, "D", "S")</f>
        <v>D</v>
      </c>
      <c r="J146" s="171"/>
    </row>
    <row r="147" spans="2:10" s="121" customFormat="1" ht="3" customHeight="1" x14ac:dyDescent="0.2">
      <c r="B147" s="134"/>
      <c r="C147" s="134"/>
      <c r="D147" s="134"/>
      <c r="E147" s="171"/>
      <c r="F147" s="134"/>
      <c r="G147" s="139"/>
      <c r="H147" s="139"/>
      <c r="I147" s="139"/>
      <c r="J147" s="171"/>
    </row>
    <row r="148" spans="2:10" s="121" customFormat="1" ht="15" x14ac:dyDescent="0.2">
      <c r="B148" s="431" t="s">
        <v>308</v>
      </c>
      <c r="C148" s="431"/>
      <c r="D148" s="134"/>
      <c r="E148" s="169" t="s">
        <v>309</v>
      </c>
      <c r="F148" s="134"/>
      <c r="G148" s="141"/>
      <c r="H148" s="142" t="s">
        <v>310</v>
      </c>
      <c r="I148" s="148" t="s">
        <v>18</v>
      </c>
      <c r="J148" s="171"/>
    </row>
    <row r="149" spans="2:10" s="121" customFormat="1" ht="3" customHeight="1" x14ac:dyDescent="0.2">
      <c r="B149" s="183"/>
      <c r="C149" s="183"/>
      <c r="D149" s="134"/>
      <c r="E149" s="183"/>
      <c r="F149" s="134"/>
      <c r="G149" s="134"/>
      <c r="H149" s="142"/>
      <c r="I149" s="148"/>
      <c r="J149" s="184"/>
    </row>
    <row r="150" spans="2:10" s="121" customFormat="1" x14ac:dyDescent="0.2">
      <c r="B150" s="184" t="s">
        <v>311</v>
      </c>
      <c r="C150" s="183"/>
      <c r="D150" s="134"/>
      <c r="E150" s="183" t="s">
        <v>312</v>
      </c>
      <c r="F150" s="134"/>
      <c r="G150" s="36" t="str">
        <f>INDEX('Pick-lists &amp; Defaults'!E126:E129,MATCH(select_paper,paper,0))</f>
        <v>??</v>
      </c>
      <c r="H150" s="142" t="s">
        <v>5</v>
      </c>
      <c r="I150" s="148" t="s">
        <v>237</v>
      </c>
      <c r="J150" s="184" t="s">
        <v>592</v>
      </c>
    </row>
    <row r="151" spans="2:10" s="121" customFormat="1" ht="3" customHeight="1" x14ac:dyDescent="0.2">
      <c r="B151" s="183"/>
      <c r="C151" s="183"/>
      <c r="D151" s="134"/>
      <c r="E151" s="183"/>
      <c r="F151" s="134"/>
      <c r="G151" s="134"/>
      <c r="H151" s="142"/>
      <c r="I151" s="148"/>
      <c r="J151" s="184"/>
    </row>
    <row r="152" spans="2:10" s="121" customFormat="1" x14ac:dyDescent="0.2">
      <c r="B152" s="184" t="s">
        <v>313</v>
      </c>
      <c r="C152" s="183"/>
      <c r="D152" s="134"/>
      <c r="E152" s="183" t="s">
        <v>314</v>
      </c>
      <c r="F152" s="134"/>
      <c r="G152" s="139">
        <v>0.2</v>
      </c>
      <c r="H152" s="142" t="s">
        <v>5</v>
      </c>
      <c r="I152" s="148" t="str">
        <f>IF(Fbroke=0.2, "D", "S")</f>
        <v>D</v>
      </c>
      <c r="J152" s="184"/>
    </row>
    <row r="153" spans="2:10" s="121" customFormat="1" ht="3" customHeight="1" x14ac:dyDescent="0.2">
      <c r="B153" s="184"/>
      <c r="C153" s="183"/>
      <c r="D153" s="134"/>
      <c r="E153" s="183"/>
      <c r="F153" s="134"/>
      <c r="G153" s="139"/>
      <c r="H153" s="142"/>
      <c r="I153" s="148"/>
      <c r="J153" s="184"/>
    </row>
    <row r="154" spans="2:10" s="121" customFormat="1" x14ac:dyDescent="0.2">
      <c r="B154" s="183" t="s">
        <v>315</v>
      </c>
      <c r="C154" s="183"/>
      <c r="D154" s="134"/>
      <c r="E154" s="183" t="s">
        <v>316</v>
      </c>
      <c r="F154" s="134"/>
      <c r="G154" s="139">
        <v>0</v>
      </c>
      <c r="H154" s="142" t="s">
        <v>5</v>
      </c>
      <c r="I154" s="148" t="str">
        <f>IF(Ffix=0, "D", "S")</f>
        <v>D</v>
      </c>
      <c r="J154" s="184"/>
    </row>
    <row r="155" spans="2:10" s="121" customFormat="1" x14ac:dyDescent="0.2">
      <c r="B155" s="134"/>
      <c r="C155" s="134"/>
      <c r="D155" s="134"/>
      <c r="E155" s="134"/>
      <c r="F155" s="134"/>
      <c r="G155" s="134"/>
      <c r="H155" s="134"/>
      <c r="I155" s="134"/>
      <c r="J155" s="171"/>
    </row>
    <row r="156" spans="2:10" s="121" customFormat="1" ht="15" x14ac:dyDescent="0.2">
      <c r="B156" s="131" t="s">
        <v>1</v>
      </c>
      <c r="C156" s="132"/>
      <c r="D156" s="132"/>
      <c r="E156" s="132"/>
      <c r="F156" s="132"/>
      <c r="G156" s="132"/>
      <c r="H156" s="132"/>
      <c r="I156" s="132"/>
      <c r="J156" s="133"/>
    </row>
    <row r="157" spans="2:10" s="121" customFormat="1" ht="3" customHeight="1" x14ac:dyDescent="0.2">
      <c r="B157" s="134"/>
      <c r="C157" s="134"/>
      <c r="D157" s="134"/>
      <c r="E157" s="134"/>
      <c r="F157" s="134"/>
      <c r="G157" s="134"/>
      <c r="H157" s="134"/>
      <c r="I157" s="134"/>
      <c r="J157" s="171"/>
    </row>
    <row r="158" spans="2:10" s="121" customFormat="1" ht="15" x14ac:dyDescent="0.2">
      <c r="B158" s="136" t="s">
        <v>2</v>
      </c>
      <c r="C158" s="136"/>
      <c r="D158" s="136"/>
      <c r="E158" s="137" t="s">
        <v>4</v>
      </c>
      <c r="F158" s="138"/>
      <c r="G158" s="138" t="s">
        <v>6</v>
      </c>
      <c r="H158" s="138" t="s">
        <v>3</v>
      </c>
      <c r="I158" s="138" t="s">
        <v>9</v>
      </c>
      <c r="J158" s="137" t="s">
        <v>15</v>
      </c>
    </row>
    <row r="159" spans="2:10" s="121" customFormat="1" ht="3" customHeight="1" x14ac:dyDescent="0.2">
      <c r="B159" s="136"/>
      <c r="C159" s="136"/>
      <c r="D159" s="136"/>
      <c r="E159" s="137"/>
      <c r="F159" s="138"/>
      <c r="G159" s="138"/>
      <c r="H159" s="138"/>
      <c r="I159" s="138"/>
      <c r="J159" s="137"/>
    </row>
    <row r="160" spans="2:10" s="121" customFormat="1" ht="68.25" x14ac:dyDescent="0.2">
      <c r="B160" s="427" t="s">
        <v>317</v>
      </c>
      <c r="C160" s="427"/>
      <c r="D160" s="134"/>
      <c r="E160" s="134" t="s">
        <v>44</v>
      </c>
      <c r="F160" s="134"/>
      <c r="G160" s="149" t="str">
        <f>IF(AND(ISNUMBER(Qpaper),ISNUMBER(Qadditive),ISNUMBER(Cai),ISNUMBER(Fclosure)),IF(in_can="Yes",(Qpaper*Qadditive*Cai*Fai*Fbroke*(1-Ffix)*(1-Fclosure)*0.000001),IF(in_can="No",(Qpaper*Qadditive*Cai*Fai*(1-Ffix)*(1-Fclosure)*0.000001),"??")),"??")</f>
        <v>??</v>
      </c>
      <c r="H160" s="139" t="s">
        <v>16</v>
      </c>
      <c r="I160" s="139" t="s">
        <v>7</v>
      </c>
      <c r="J160" s="186" t="s">
        <v>322</v>
      </c>
    </row>
    <row r="161" spans="2:10" s="121" customFormat="1" x14ac:dyDescent="0.2">
      <c r="B161" s="161"/>
      <c r="C161" s="86"/>
      <c r="D161" s="134"/>
      <c r="E161" s="134"/>
      <c r="F161" s="134"/>
      <c r="G161" s="134"/>
      <c r="H161" s="139"/>
      <c r="I161" s="139"/>
      <c r="J161" s="173"/>
    </row>
    <row r="162" spans="2:10" s="121" customFormat="1" x14ac:dyDescent="0.2">
      <c r="B162" s="143" t="s">
        <v>10</v>
      </c>
      <c r="J162" s="146"/>
    </row>
    <row r="163" spans="2:10" s="121" customFormat="1" x14ac:dyDescent="0.2">
      <c r="J163" s="146"/>
    </row>
    <row r="164" spans="2:10" s="121" customFormat="1" x14ac:dyDescent="0.2">
      <c r="B164" s="257" t="s">
        <v>422</v>
      </c>
      <c r="J164" s="146"/>
    </row>
    <row r="165" spans="2:10" s="348" customFormat="1" x14ac:dyDescent="0.2">
      <c r="B165" s="257"/>
      <c r="J165" s="146"/>
    </row>
    <row r="166" spans="2:10" s="121" customFormat="1" x14ac:dyDescent="0.2">
      <c r="B166" s="168"/>
      <c r="C166" s="168"/>
      <c r="D166" s="168"/>
      <c r="E166" s="168"/>
      <c r="F166" s="168"/>
      <c r="G166" s="168"/>
      <c r="H166" s="168"/>
      <c r="I166" s="168"/>
      <c r="J166" s="168"/>
    </row>
    <row r="167" spans="2:10" s="121" customFormat="1" ht="14.25" x14ac:dyDescent="0.2">
      <c r="B167" s="432" t="s">
        <v>426</v>
      </c>
      <c r="C167" s="433"/>
      <c r="D167" s="433"/>
      <c r="E167" s="433"/>
      <c r="F167" s="433"/>
      <c r="G167" s="433"/>
      <c r="H167" s="433"/>
      <c r="I167" s="433"/>
      <c r="J167" s="433"/>
    </row>
    <row r="168" spans="2:10" s="121" customFormat="1" ht="14.25" x14ac:dyDescent="0.2">
      <c r="B168" s="185"/>
      <c r="C168" s="185"/>
      <c r="D168" s="185"/>
      <c r="E168" s="185"/>
      <c r="F168" s="185"/>
      <c r="G168" s="185"/>
      <c r="H168" s="185"/>
      <c r="I168" s="185"/>
      <c r="J168" s="185"/>
    </row>
    <row r="169" spans="2:10" s="121" customFormat="1" ht="18" x14ac:dyDescent="0.2">
      <c r="B169" s="437" t="s">
        <v>604</v>
      </c>
      <c r="C169" s="437"/>
      <c r="D169" s="437"/>
      <c r="E169" s="437"/>
      <c r="F169" s="437"/>
      <c r="G169" s="437"/>
      <c r="H169" s="437"/>
      <c r="I169" s="437"/>
      <c r="J169" s="437"/>
    </row>
    <row r="170" spans="2:10" s="121" customFormat="1" ht="3" customHeight="1" x14ac:dyDescent="0.2">
      <c r="B170" s="185"/>
      <c r="C170" s="185"/>
      <c r="D170" s="185"/>
      <c r="E170" s="185"/>
      <c r="F170" s="185"/>
      <c r="G170" s="185"/>
      <c r="H170" s="185"/>
      <c r="I170" s="185"/>
      <c r="J170" s="185"/>
    </row>
    <row r="171" spans="2:10" s="121" customFormat="1" ht="14.25" x14ac:dyDescent="0.2">
      <c r="B171" s="129" t="s">
        <v>8</v>
      </c>
      <c r="C171" s="185"/>
      <c r="D171" s="185"/>
      <c r="E171" s="185"/>
      <c r="F171" s="185"/>
      <c r="G171" s="185"/>
      <c r="H171" s="185"/>
      <c r="I171" s="185"/>
      <c r="J171" s="185"/>
    </row>
    <row r="172" spans="2:10" s="121" customFormat="1" x14ac:dyDescent="0.2">
      <c r="B172" s="469" t="s">
        <v>148</v>
      </c>
      <c r="C172" s="469"/>
      <c r="D172" s="469"/>
      <c r="E172" s="469"/>
      <c r="F172" s="469"/>
      <c r="G172" s="469"/>
      <c r="H172" s="469"/>
      <c r="I172" s="469"/>
      <c r="J172" s="469"/>
    </row>
    <row r="173" spans="2:10" s="121" customFormat="1" x14ac:dyDescent="0.2">
      <c r="B173" s="469" t="s">
        <v>443</v>
      </c>
      <c r="C173" s="469"/>
      <c r="D173" s="469"/>
      <c r="E173" s="469"/>
      <c r="F173" s="469"/>
      <c r="G173" s="469"/>
      <c r="H173" s="469"/>
      <c r="I173" s="469"/>
      <c r="J173" s="469"/>
    </row>
    <row r="174" spans="2:10" s="121" customFormat="1" x14ac:dyDescent="0.2">
      <c r="B174" s="469" t="s">
        <v>444</v>
      </c>
      <c r="C174" s="469"/>
      <c r="D174" s="469"/>
      <c r="E174" s="469"/>
      <c r="F174" s="469"/>
      <c r="G174" s="469"/>
      <c r="H174" s="469"/>
      <c r="I174" s="469"/>
      <c r="J174" s="469"/>
    </row>
    <row r="175" spans="2:10" s="121" customFormat="1" ht="3" customHeight="1" x14ac:dyDescent="0.2">
      <c r="B175" s="185"/>
      <c r="C175" s="185"/>
      <c r="D175" s="185"/>
      <c r="E175" s="185"/>
      <c r="F175" s="185"/>
      <c r="G175" s="185"/>
      <c r="H175" s="185"/>
      <c r="I175" s="185"/>
      <c r="J175" s="185"/>
    </row>
    <row r="176" spans="2:10" s="121" customFormat="1" ht="15" x14ac:dyDescent="0.2">
      <c r="B176" s="131" t="s">
        <v>0</v>
      </c>
      <c r="C176" s="132"/>
      <c r="D176" s="132"/>
      <c r="E176" s="132"/>
      <c r="F176" s="132"/>
      <c r="G176" s="132"/>
      <c r="H176" s="132"/>
      <c r="I176" s="132"/>
      <c r="J176" s="133"/>
    </row>
    <row r="177" spans="2:10" s="121" customFormat="1" ht="3" customHeight="1" x14ac:dyDescent="0.2">
      <c r="B177" s="134"/>
      <c r="C177" s="134"/>
      <c r="D177" s="134"/>
      <c r="E177" s="134"/>
      <c r="F177" s="134"/>
      <c r="G177" s="134"/>
      <c r="H177" s="134"/>
      <c r="I177" s="134"/>
      <c r="J177" s="184"/>
    </row>
    <row r="178" spans="2:10" s="121" customFormat="1" ht="15" x14ac:dyDescent="0.2">
      <c r="B178" s="136" t="s">
        <v>2</v>
      </c>
      <c r="C178" s="136"/>
      <c r="D178" s="136"/>
      <c r="E178" s="137" t="s">
        <v>4</v>
      </c>
      <c r="F178" s="138"/>
      <c r="G178" s="138" t="s">
        <v>6</v>
      </c>
      <c r="H178" s="138" t="s">
        <v>3</v>
      </c>
      <c r="I178" s="138" t="s">
        <v>9</v>
      </c>
      <c r="J178" s="137" t="s">
        <v>15</v>
      </c>
    </row>
    <row r="179" spans="2:10" s="121" customFormat="1" ht="3" customHeight="1" x14ac:dyDescent="0.2">
      <c r="B179" s="134"/>
      <c r="C179" s="134"/>
      <c r="D179" s="134"/>
      <c r="E179" s="134"/>
      <c r="F179" s="134"/>
      <c r="G179" s="134"/>
      <c r="H179" s="134"/>
      <c r="I179" s="134"/>
      <c r="J179" s="184"/>
    </row>
    <row r="180" spans="2:10" s="121" customFormat="1" ht="15" x14ac:dyDescent="0.2">
      <c r="B180" s="426" t="s">
        <v>323</v>
      </c>
      <c r="C180" s="426"/>
      <c r="D180" s="134"/>
      <c r="E180" s="182" t="s">
        <v>31</v>
      </c>
      <c r="F180" s="134"/>
      <c r="G180" s="141"/>
      <c r="H180" s="139" t="s">
        <v>134</v>
      </c>
      <c r="I180" s="148" t="s">
        <v>18</v>
      </c>
      <c r="J180" s="184"/>
    </row>
    <row r="181" spans="2:10" s="121" customFormat="1" ht="3" customHeight="1" x14ac:dyDescent="0.2">
      <c r="B181" s="134"/>
      <c r="C181" s="134"/>
      <c r="D181" s="134"/>
      <c r="E181" s="182"/>
      <c r="F181" s="134"/>
      <c r="G181" s="139"/>
      <c r="H181" s="139"/>
      <c r="I181" s="139"/>
      <c r="J181" s="184"/>
    </row>
    <row r="182" spans="2:10" s="121" customFormat="1" x14ac:dyDescent="0.2">
      <c r="B182" s="431" t="s">
        <v>325</v>
      </c>
      <c r="C182" s="431"/>
      <c r="D182" s="134"/>
      <c r="E182" s="182" t="s">
        <v>33</v>
      </c>
      <c r="F182" s="134"/>
      <c r="G182" s="139">
        <v>0.1</v>
      </c>
      <c r="H182" s="142" t="s">
        <v>5</v>
      </c>
      <c r="I182" s="148" t="str">
        <f>IF(Freg=0.1, "D", "S")</f>
        <v>D</v>
      </c>
      <c r="J182" s="184"/>
    </row>
    <row r="183" spans="2:10" s="121" customFormat="1" ht="3" customHeight="1" x14ac:dyDescent="0.2">
      <c r="B183" s="211"/>
      <c r="C183" s="211"/>
      <c r="D183" s="134"/>
      <c r="E183" s="210"/>
      <c r="F183" s="134"/>
      <c r="G183" s="139"/>
      <c r="H183" s="142"/>
      <c r="I183" s="148"/>
      <c r="J183" s="212"/>
    </row>
    <row r="184" spans="2:10" s="121" customFormat="1" ht="15" x14ac:dyDescent="0.2">
      <c r="B184" s="431" t="s">
        <v>324</v>
      </c>
      <c r="C184" s="431"/>
      <c r="D184" s="134"/>
      <c r="E184" s="184" t="s">
        <v>140</v>
      </c>
      <c r="F184" s="134"/>
      <c r="G184" s="227" t="str">
        <f>IF(ISNUMBER(Tonnage_recyc),Tonnage_recyc*Freg,"??")</f>
        <v>??</v>
      </c>
      <c r="H184" s="139" t="s">
        <v>134</v>
      </c>
      <c r="I184" s="148" t="s">
        <v>7</v>
      </c>
      <c r="J184" s="184" t="s">
        <v>337</v>
      </c>
    </row>
    <row r="185" spans="2:10" s="121" customFormat="1" ht="3" customHeight="1" x14ac:dyDescent="0.2">
      <c r="B185" s="211"/>
      <c r="C185" s="211"/>
      <c r="D185" s="134"/>
      <c r="E185" s="212"/>
      <c r="F185" s="134"/>
      <c r="G185" s="212"/>
      <c r="H185" s="139"/>
      <c r="I185" s="148"/>
      <c r="J185" s="212"/>
    </row>
    <row r="186" spans="2:10" s="121" customFormat="1" x14ac:dyDescent="0.2">
      <c r="B186" s="183" t="s">
        <v>326</v>
      </c>
      <c r="C186" s="183"/>
      <c r="D186" s="134"/>
      <c r="E186" s="182" t="s">
        <v>341</v>
      </c>
      <c r="F186" s="134"/>
      <c r="G186" s="139">
        <v>0.1</v>
      </c>
      <c r="H186" s="142" t="s">
        <v>5</v>
      </c>
      <c r="I186" s="148" t="str">
        <f>IF(Fmainsource=0.1, "D", "S")</f>
        <v>D</v>
      </c>
      <c r="J186" s="184"/>
    </row>
    <row r="187" spans="2:10" s="121" customFormat="1" ht="3" customHeight="1" x14ac:dyDescent="0.2">
      <c r="B187" s="183"/>
      <c r="C187" s="183"/>
      <c r="D187" s="134"/>
      <c r="E187" s="182"/>
      <c r="F187" s="134"/>
      <c r="G187" s="139"/>
      <c r="H187" s="142"/>
      <c r="I187" s="148"/>
      <c r="J187" s="184"/>
    </row>
    <row r="188" spans="2:10" s="121" customFormat="1" x14ac:dyDescent="0.2">
      <c r="B188" s="183" t="s">
        <v>328</v>
      </c>
      <c r="C188" s="183"/>
      <c r="D188" s="134"/>
      <c r="E188" s="182" t="s">
        <v>327</v>
      </c>
      <c r="F188" s="134"/>
      <c r="G188" s="139">
        <v>0.5</v>
      </c>
      <c r="H188" s="142" t="s">
        <v>5</v>
      </c>
      <c r="I188" s="148" t="str">
        <f>IF(Frecycling=0.5, "D", "S")</f>
        <v>D</v>
      </c>
      <c r="J188" s="184"/>
    </row>
    <row r="189" spans="2:10" s="121" customFormat="1" ht="3" customHeight="1" x14ac:dyDescent="0.2">
      <c r="B189" s="183"/>
      <c r="C189" s="183"/>
      <c r="D189" s="134"/>
      <c r="E189" s="182"/>
      <c r="F189" s="134"/>
      <c r="G189" s="139"/>
      <c r="H189" s="142"/>
      <c r="I189" s="148"/>
      <c r="J189" s="184"/>
    </row>
    <row r="190" spans="2:10" s="121" customFormat="1" x14ac:dyDescent="0.2">
      <c r="B190" s="183" t="s">
        <v>329</v>
      </c>
      <c r="C190" s="183"/>
      <c r="D190" s="134"/>
      <c r="E190" s="182" t="s">
        <v>330</v>
      </c>
      <c r="F190" s="134"/>
      <c r="G190" s="139">
        <v>1</v>
      </c>
      <c r="H190" s="142" t="s">
        <v>5</v>
      </c>
      <c r="I190" s="148" t="str">
        <f>IF(Fdeinking=1, "D", "S")</f>
        <v>D</v>
      </c>
      <c r="J190" s="184"/>
    </row>
    <row r="191" spans="2:10" s="121" customFormat="1" ht="3" customHeight="1" x14ac:dyDescent="0.2">
      <c r="B191" s="183"/>
      <c r="C191" s="183"/>
      <c r="D191" s="134"/>
      <c r="E191" s="182"/>
      <c r="F191" s="134"/>
      <c r="G191" s="139"/>
      <c r="H191" s="142"/>
      <c r="I191" s="148"/>
      <c r="J191" s="184"/>
    </row>
    <row r="192" spans="2:10" s="121" customFormat="1" x14ac:dyDescent="0.2">
      <c r="B192" s="184" t="s">
        <v>331</v>
      </c>
      <c r="C192" s="183"/>
      <c r="D192" s="134"/>
      <c r="E192" s="182" t="s">
        <v>295</v>
      </c>
      <c r="F192" s="134"/>
      <c r="G192" s="139">
        <v>0</v>
      </c>
      <c r="H192" s="142" t="s">
        <v>5</v>
      </c>
      <c r="I192" s="148" t="str">
        <f>IF(Fdecomp=0, "D", "S")</f>
        <v>D</v>
      </c>
      <c r="J192" s="184"/>
    </row>
    <row r="193" spans="2:10" s="121" customFormat="1" ht="3" customHeight="1" thickBot="1" x14ac:dyDescent="0.25">
      <c r="B193" s="184"/>
      <c r="C193" s="183"/>
      <c r="D193" s="134"/>
      <c r="E193" s="182"/>
      <c r="F193" s="134"/>
      <c r="G193" s="139"/>
      <c r="H193" s="142"/>
      <c r="I193" s="148"/>
      <c r="J193" s="184"/>
    </row>
    <row r="194" spans="2:10" s="121" customFormat="1" ht="39.75" thickTop="1" thickBot="1" x14ac:dyDescent="0.25">
      <c r="B194" s="200" t="s">
        <v>335</v>
      </c>
      <c r="C194" s="67" t="s">
        <v>333</v>
      </c>
      <c r="D194" s="134"/>
      <c r="E194" s="182" t="s">
        <v>336</v>
      </c>
      <c r="F194" s="134"/>
      <c r="G194" s="36" t="str">
        <f>INDEX('Pick-lists &amp; Defaults'!C137:C139,MATCH(C194,solubility,0))</f>
        <v>??</v>
      </c>
      <c r="H194" s="142" t="s">
        <v>5</v>
      </c>
      <c r="I194" s="148" t="s">
        <v>237</v>
      </c>
      <c r="J194" s="184" t="s">
        <v>616</v>
      </c>
    </row>
    <row r="195" spans="2:10" s="121" customFormat="1" ht="3" customHeight="1" thickTop="1" x14ac:dyDescent="0.2">
      <c r="B195" s="134"/>
      <c r="C195" s="134"/>
      <c r="D195" s="134"/>
      <c r="E195" s="184"/>
      <c r="F195" s="134"/>
      <c r="G195" s="139"/>
      <c r="H195" s="139"/>
      <c r="I195" s="139"/>
      <c r="J195" s="184"/>
    </row>
    <row r="196" spans="2:10" s="121" customFormat="1" ht="15" x14ac:dyDescent="0.2">
      <c r="B196" s="431" t="s">
        <v>338</v>
      </c>
      <c r="C196" s="431"/>
      <c r="D196" s="134"/>
      <c r="E196" s="183" t="s">
        <v>339</v>
      </c>
      <c r="F196" s="134"/>
      <c r="G196" s="139">
        <v>320</v>
      </c>
      <c r="H196" s="139" t="s">
        <v>651</v>
      </c>
      <c r="I196" s="148" t="str">
        <f>IF(Nd=320, "D", "S")</f>
        <v>D</v>
      </c>
      <c r="J196" s="184"/>
    </row>
    <row r="197" spans="2:10" s="121" customFormat="1" x14ac:dyDescent="0.2">
      <c r="B197" s="134"/>
      <c r="C197" s="134"/>
      <c r="D197" s="134"/>
      <c r="E197" s="134"/>
      <c r="F197" s="134"/>
      <c r="G197" s="134"/>
      <c r="H197" s="134"/>
      <c r="I197" s="134"/>
      <c r="J197" s="184"/>
    </row>
    <row r="198" spans="2:10" s="121" customFormat="1" ht="15" x14ac:dyDescent="0.2">
      <c r="B198" s="131" t="s">
        <v>1</v>
      </c>
      <c r="C198" s="132"/>
      <c r="D198" s="132"/>
      <c r="E198" s="132"/>
      <c r="F198" s="132"/>
      <c r="G198" s="132"/>
      <c r="H198" s="132"/>
      <c r="I198" s="132"/>
      <c r="J198" s="133"/>
    </row>
    <row r="199" spans="2:10" s="121" customFormat="1" ht="3" customHeight="1" x14ac:dyDescent="0.2">
      <c r="B199" s="134"/>
      <c r="C199" s="134"/>
      <c r="D199" s="134"/>
      <c r="E199" s="134"/>
      <c r="F199" s="134"/>
      <c r="G199" s="134"/>
      <c r="H199" s="134"/>
      <c r="I199" s="134"/>
      <c r="J199" s="184"/>
    </row>
    <row r="200" spans="2:10" s="121" customFormat="1" ht="15" x14ac:dyDescent="0.2">
      <c r="B200" s="136" t="s">
        <v>2</v>
      </c>
      <c r="C200" s="136"/>
      <c r="D200" s="136"/>
      <c r="E200" s="137" t="s">
        <v>4</v>
      </c>
      <c r="F200" s="138"/>
      <c r="G200" s="138" t="s">
        <v>6</v>
      </c>
      <c r="H200" s="138" t="s">
        <v>3</v>
      </c>
      <c r="I200" s="138" t="s">
        <v>9</v>
      </c>
      <c r="J200" s="137" t="s">
        <v>15</v>
      </c>
    </row>
    <row r="201" spans="2:10" s="121" customFormat="1" ht="3" customHeight="1" x14ac:dyDescent="0.2">
      <c r="B201" s="136"/>
      <c r="C201" s="136"/>
      <c r="D201" s="136"/>
      <c r="E201" s="137"/>
      <c r="F201" s="138"/>
      <c r="G201" s="138"/>
      <c r="H201" s="138"/>
      <c r="I201" s="138"/>
      <c r="J201" s="137"/>
    </row>
    <row r="202" spans="2:10" s="121" customFormat="1" ht="30" customHeight="1" x14ac:dyDescent="0.2">
      <c r="B202" s="427" t="s">
        <v>340</v>
      </c>
      <c r="C202" s="427"/>
      <c r="D202" s="134"/>
      <c r="E202" s="134" t="s">
        <v>44</v>
      </c>
      <c r="F202" s="134"/>
      <c r="G202" s="149" t="str">
        <f>IF(AND(ISNUMBER(TONNAGEreg_recyc),ISNUMBER(Fpreliminary)),TONNAGEreg_recyc*Frecycling*Fmainsource*Fdeinking*(1-Fpreliminary)*(1-Fdecomp)*1000/Nd,"??")</f>
        <v>??</v>
      </c>
      <c r="H202" s="139" t="s">
        <v>16</v>
      </c>
      <c r="I202" s="139" t="s">
        <v>7</v>
      </c>
      <c r="J202" s="187" t="s">
        <v>342</v>
      </c>
    </row>
    <row r="203" spans="2:10" s="121" customFormat="1" x14ac:dyDescent="0.2">
      <c r="B203" s="161"/>
      <c r="C203" s="86"/>
      <c r="D203" s="134"/>
      <c r="E203" s="134"/>
      <c r="F203" s="134"/>
      <c r="G203" s="134"/>
      <c r="H203" s="139"/>
      <c r="I203" s="139"/>
      <c r="J203" s="186"/>
    </row>
    <row r="204" spans="2:10" s="121" customFormat="1" x14ac:dyDescent="0.2">
      <c r="B204" s="143" t="s">
        <v>10</v>
      </c>
      <c r="J204" s="146"/>
    </row>
    <row r="205" spans="2:10" s="121" customFormat="1" x14ac:dyDescent="0.2">
      <c r="J205" s="146"/>
    </row>
    <row r="206" spans="2:10" s="121" customFormat="1" x14ac:dyDescent="0.2">
      <c r="B206" s="257" t="s">
        <v>422</v>
      </c>
      <c r="J206" s="146"/>
    </row>
    <row r="207" spans="2:10" s="121" customFormat="1" x14ac:dyDescent="0.2">
      <c r="J207" s="146"/>
    </row>
    <row r="208" spans="2:10" s="121" customFormat="1" x14ac:dyDescent="0.2">
      <c r="J208" s="146"/>
    </row>
    <row r="209" spans="10:10" s="121" customFormat="1" x14ac:dyDescent="0.2">
      <c r="J209" s="146"/>
    </row>
    <row r="210" spans="10:10" s="121" customFormat="1" x14ac:dyDescent="0.2">
      <c r="J210" s="146"/>
    </row>
    <row r="211" spans="10:10" s="121" customFormat="1" x14ac:dyDescent="0.2">
      <c r="J211" s="146"/>
    </row>
    <row r="212" spans="10:10" s="121" customFormat="1" x14ac:dyDescent="0.2">
      <c r="J212" s="146"/>
    </row>
    <row r="213" spans="10:10" s="121" customFormat="1" x14ac:dyDescent="0.2">
      <c r="J213" s="146"/>
    </row>
    <row r="214" spans="10:10" s="121" customFormat="1" x14ac:dyDescent="0.2">
      <c r="J214" s="146"/>
    </row>
    <row r="215" spans="10:10" s="121" customFormat="1" x14ac:dyDescent="0.2">
      <c r="J215" s="146"/>
    </row>
    <row r="216" spans="10:10" s="121" customFormat="1" x14ac:dyDescent="0.2">
      <c r="J216" s="146"/>
    </row>
    <row r="217" spans="10:10" s="121" customFormat="1" x14ac:dyDescent="0.2">
      <c r="J217" s="146"/>
    </row>
    <row r="218" spans="10:10" s="121" customFormat="1" x14ac:dyDescent="0.2">
      <c r="J218" s="146"/>
    </row>
    <row r="219" spans="10:10" s="121" customFormat="1" x14ac:dyDescent="0.2">
      <c r="J219" s="146"/>
    </row>
    <row r="220" spans="10:10" s="121" customFormat="1" x14ac:dyDescent="0.2">
      <c r="J220" s="146"/>
    </row>
    <row r="221" spans="10:10" s="121" customFormat="1" x14ac:dyDescent="0.2">
      <c r="J221" s="146"/>
    </row>
    <row r="222" spans="10:10" s="121" customFormat="1" x14ac:dyDescent="0.2">
      <c r="J222" s="146"/>
    </row>
    <row r="223" spans="10:10" s="121" customFormat="1" x14ac:dyDescent="0.2">
      <c r="J223" s="146"/>
    </row>
    <row r="224" spans="10:10" s="121" customFormat="1" x14ac:dyDescent="0.2">
      <c r="J224" s="146"/>
    </row>
    <row r="225" spans="10:10" s="121" customFormat="1" x14ac:dyDescent="0.2">
      <c r="J225" s="146"/>
    </row>
    <row r="226" spans="10:10" s="121" customFormat="1" x14ac:dyDescent="0.2">
      <c r="J226" s="146"/>
    </row>
    <row r="227" spans="10:10" s="121" customFormat="1" x14ac:dyDescent="0.2">
      <c r="J227" s="146"/>
    </row>
    <row r="228" spans="10:10" s="121" customFormat="1" x14ac:dyDescent="0.2">
      <c r="J228" s="146"/>
    </row>
    <row r="229" spans="10:10" s="121" customFormat="1" x14ac:dyDescent="0.2">
      <c r="J229" s="146"/>
    </row>
    <row r="230" spans="10:10" s="121" customFormat="1" x14ac:dyDescent="0.2">
      <c r="J230" s="146"/>
    </row>
    <row r="231" spans="10:10" s="121" customFormat="1" x14ac:dyDescent="0.2">
      <c r="J231" s="146"/>
    </row>
    <row r="232" spans="10:10" s="121" customFormat="1" x14ac:dyDescent="0.2">
      <c r="J232" s="146"/>
    </row>
    <row r="233" spans="10:10" s="121" customFormat="1" x14ac:dyDescent="0.2">
      <c r="J233" s="146"/>
    </row>
    <row r="234" spans="10:10" s="121" customFormat="1" x14ac:dyDescent="0.2">
      <c r="J234" s="146"/>
    </row>
    <row r="235" spans="10:10" s="121" customFormat="1" x14ac:dyDescent="0.2">
      <c r="J235" s="146"/>
    </row>
    <row r="236" spans="10:10" s="121" customFormat="1" x14ac:dyDescent="0.2">
      <c r="J236" s="146"/>
    </row>
    <row r="237" spans="10:10" s="121" customFormat="1" x14ac:dyDescent="0.2">
      <c r="J237" s="146"/>
    </row>
    <row r="238" spans="10:10" s="121" customFormat="1" x14ac:dyDescent="0.2">
      <c r="J238" s="146"/>
    </row>
    <row r="239" spans="10:10" s="121" customFormat="1" x14ac:dyDescent="0.2">
      <c r="J239" s="146"/>
    </row>
    <row r="240" spans="10:10" s="121" customFormat="1" x14ac:dyDescent="0.2">
      <c r="J240" s="146"/>
    </row>
    <row r="241" spans="10:10" s="121" customFormat="1" x14ac:dyDescent="0.2">
      <c r="J241" s="146"/>
    </row>
    <row r="242" spans="10:10" s="121" customFormat="1" x14ac:dyDescent="0.2">
      <c r="J242" s="146"/>
    </row>
    <row r="243" spans="10:10" s="121" customFormat="1" x14ac:dyDescent="0.2">
      <c r="J243" s="146"/>
    </row>
    <row r="244" spans="10:10" s="121" customFormat="1" x14ac:dyDescent="0.2">
      <c r="J244" s="146"/>
    </row>
    <row r="245" spans="10:10" s="121" customFormat="1" x14ac:dyDescent="0.2">
      <c r="J245" s="146"/>
    </row>
    <row r="246" spans="10:10" s="121" customFormat="1" x14ac:dyDescent="0.2">
      <c r="J246" s="146"/>
    </row>
    <row r="247" spans="10:10" s="121" customFormat="1" x14ac:dyDescent="0.2">
      <c r="J247" s="146"/>
    </row>
    <row r="248" spans="10:10" s="121" customFormat="1" x14ac:dyDescent="0.2">
      <c r="J248" s="146"/>
    </row>
    <row r="249" spans="10:10" s="121" customFormat="1" x14ac:dyDescent="0.2">
      <c r="J249" s="146"/>
    </row>
    <row r="250" spans="10:10" s="121" customFormat="1" x14ac:dyDescent="0.2">
      <c r="J250" s="146"/>
    </row>
    <row r="251" spans="10:10" s="121" customFormat="1" x14ac:dyDescent="0.2">
      <c r="J251" s="146"/>
    </row>
    <row r="252" spans="10:10" s="121" customFormat="1" x14ac:dyDescent="0.2">
      <c r="J252" s="146"/>
    </row>
    <row r="253" spans="10:10" s="121" customFormat="1" x14ac:dyDescent="0.2">
      <c r="J253" s="146"/>
    </row>
    <row r="254" spans="10:10" s="121" customFormat="1" x14ac:dyDescent="0.2">
      <c r="J254" s="146"/>
    </row>
    <row r="255" spans="10:10" s="121" customFormat="1" x14ac:dyDescent="0.2">
      <c r="J255" s="146"/>
    </row>
    <row r="256" spans="10:10" s="121" customFormat="1" x14ac:dyDescent="0.2">
      <c r="J256" s="146"/>
    </row>
    <row r="257" spans="10:10" s="121" customFormat="1" x14ac:dyDescent="0.2">
      <c r="J257" s="146"/>
    </row>
    <row r="258" spans="10:10" s="121" customFormat="1" x14ac:dyDescent="0.2">
      <c r="J258" s="146"/>
    </row>
    <row r="259" spans="10:10" s="121" customFormat="1" x14ac:dyDescent="0.2">
      <c r="J259" s="146"/>
    </row>
    <row r="260" spans="10:10" s="121" customFormat="1" x14ac:dyDescent="0.2">
      <c r="J260" s="146"/>
    </row>
    <row r="261" spans="10:10" s="121" customFormat="1" x14ac:dyDescent="0.2">
      <c r="J261" s="146"/>
    </row>
    <row r="262" spans="10:10" s="121" customFormat="1" x14ac:dyDescent="0.2">
      <c r="J262" s="146"/>
    </row>
    <row r="263" spans="10:10" s="121" customFormat="1" x14ac:dyDescent="0.2">
      <c r="J263" s="146"/>
    </row>
    <row r="264" spans="10:10" s="121" customFormat="1" x14ac:dyDescent="0.2">
      <c r="J264" s="146"/>
    </row>
    <row r="265" spans="10:10" s="121" customFormat="1" x14ac:dyDescent="0.2">
      <c r="J265" s="146"/>
    </row>
    <row r="266" spans="10:10" s="121" customFormat="1" x14ac:dyDescent="0.2">
      <c r="J266" s="146"/>
    </row>
    <row r="267" spans="10:10" s="121" customFormat="1" x14ac:dyDescent="0.2">
      <c r="J267" s="146"/>
    </row>
    <row r="268" spans="10:10" s="121" customFormat="1" x14ac:dyDescent="0.2">
      <c r="J268" s="146"/>
    </row>
    <row r="269" spans="10:10" s="121" customFormat="1" x14ac:dyDescent="0.2">
      <c r="J269" s="146"/>
    </row>
    <row r="270" spans="10:10" s="121" customFormat="1" x14ac:dyDescent="0.2">
      <c r="J270" s="146"/>
    </row>
    <row r="271" spans="10:10" s="121" customFormat="1" x14ac:dyDescent="0.2">
      <c r="J271" s="146"/>
    </row>
    <row r="272" spans="10:10" s="121" customFormat="1" x14ac:dyDescent="0.2">
      <c r="J272" s="146"/>
    </row>
    <row r="273" spans="10:10" s="121" customFormat="1" x14ac:dyDescent="0.2">
      <c r="J273" s="146"/>
    </row>
    <row r="274" spans="10:10" s="121" customFormat="1" x14ac:dyDescent="0.2">
      <c r="J274" s="146"/>
    </row>
    <row r="275" spans="10:10" s="121" customFormat="1" x14ac:dyDescent="0.2">
      <c r="J275" s="146"/>
    </row>
    <row r="276" spans="10:10" s="121" customFormat="1" x14ac:dyDescent="0.2">
      <c r="J276" s="146"/>
    </row>
    <row r="277" spans="10:10" s="121" customFormat="1" x14ac:dyDescent="0.2">
      <c r="J277" s="146"/>
    </row>
    <row r="278" spans="10:10" s="121" customFormat="1" x14ac:dyDescent="0.2">
      <c r="J278" s="146"/>
    </row>
    <row r="279" spans="10:10" s="121" customFormat="1" x14ac:dyDescent="0.2">
      <c r="J279" s="146"/>
    </row>
    <row r="280" spans="10:10" s="121" customFormat="1" x14ac:dyDescent="0.2">
      <c r="J280" s="146"/>
    </row>
    <row r="281" spans="10:10" s="121" customFormat="1" x14ac:dyDescent="0.2">
      <c r="J281" s="146"/>
    </row>
    <row r="282" spans="10:10" s="121" customFormat="1" x14ac:dyDescent="0.2">
      <c r="J282" s="146"/>
    </row>
    <row r="283" spans="10:10" s="121" customFormat="1" x14ac:dyDescent="0.2">
      <c r="J283" s="146"/>
    </row>
    <row r="284" spans="10:10" s="121" customFormat="1" x14ac:dyDescent="0.2">
      <c r="J284" s="146"/>
    </row>
    <row r="285" spans="10:10" s="121" customFormat="1" x14ac:dyDescent="0.2">
      <c r="J285" s="146"/>
    </row>
    <row r="286" spans="10:10" s="121" customFormat="1" x14ac:dyDescent="0.2">
      <c r="J286" s="146"/>
    </row>
    <row r="287" spans="10:10" s="121" customFormat="1" x14ac:dyDescent="0.2">
      <c r="J287" s="146"/>
    </row>
    <row r="288" spans="10:10" s="121" customFormat="1" x14ac:dyDescent="0.2">
      <c r="J288" s="146"/>
    </row>
    <row r="289" spans="10:10" s="121" customFormat="1" x14ac:dyDescent="0.2">
      <c r="J289" s="146"/>
    </row>
    <row r="290" spans="10:10" s="121" customFormat="1" x14ac:dyDescent="0.2">
      <c r="J290" s="146"/>
    </row>
    <row r="291" spans="10:10" s="121" customFormat="1" x14ac:dyDescent="0.2">
      <c r="J291" s="146"/>
    </row>
    <row r="292" spans="10:10" s="121" customFormat="1" x14ac:dyDescent="0.2">
      <c r="J292" s="146"/>
    </row>
    <row r="293" spans="10:10" s="121" customFormat="1" x14ac:dyDescent="0.2">
      <c r="J293" s="146"/>
    </row>
    <row r="294" spans="10:10" s="121" customFormat="1" x14ac:dyDescent="0.2">
      <c r="J294" s="146"/>
    </row>
    <row r="295" spans="10:10" s="121" customFormat="1" x14ac:dyDescent="0.2">
      <c r="J295" s="146"/>
    </row>
    <row r="296" spans="10:10" s="121" customFormat="1" x14ac:dyDescent="0.2">
      <c r="J296" s="146"/>
    </row>
    <row r="297" spans="10:10" s="121" customFormat="1" x14ac:dyDescent="0.2">
      <c r="J297" s="146"/>
    </row>
    <row r="298" spans="10:10" s="121" customFormat="1" x14ac:dyDescent="0.2">
      <c r="J298" s="146"/>
    </row>
    <row r="299" spans="10:10" s="121" customFormat="1" x14ac:dyDescent="0.2">
      <c r="J299" s="146"/>
    </row>
    <row r="300" spans="10:10" s="121" customFormat="1" x14ac:dyDescent="0.2">
      <c r="J300" s="146"/>
    </row>
    <row r="301" spans="10:10" s="121" customFormat="1" x14ac:dyDescent="0.2">
      <c r="J301" s="146"/>
    </row>
    <row r="302" spans="10:10" s="121" customFormat="1" x14ac:dyDescent="0.2">
      <c r="J302" s="146"/>
    </row>
    <row r="303" spans="10:10" s="121" customFormat="1" x14ac:dyDescent="0.2">
      <c r="J303" s="146"/>
    </row>
    <row r="304" spans="10:10" s="121" customFormat="1" x14ac:dyDescent="0.2">
      <c r="J304" s="146"/>
    </row>
    <row r="305" spans="10:10" s="121" customFormat="1" x14ac:dyDescent="0.2">
      <c r="J305" s="146"/>
    </row>
    <row r="306" spans="10:10" s="121" customFormat="1" x14ac:dyDescent="0.2">
      <c r="J306" s="146"/>
    </row>
    <row r="307" spans="10:10" s="121" customFormat="1" x14ac:dyDescent="0.2">
      <c r="J307" s="146"/>
    </row>
    <row r="308" spans="10:10" s="121" customFormat="1" x14ac:dyDescent="0.2">
      <c r="J308" s="146"/>
    </row>
    <row r="309" spans="10:10" s="121" customFormat="1" x14ac:dyDescent="0.2">
      <c r="J309" s="146"/>
    </row>
    <row r="310" spans="10:10" s="121" customFormat="1" x14ac:dyDescent="0.2">
      <c r="J310" s="146"/>
    </row>
    <row r="311" spans="10:10" s="121" customFormat="1" x14ac:dyDescent="0.2">
      <c r="J311" s="146"/>
    </row>
    <row r="312" spans="10:10" s="121" customFormat="1" x14ac:dyDescent="0.2">
      <c r="J312" s="146"/>
    </row>
    <row r="313" spans="10:10" s="121" customFormat="1" x14ac:dyDescent="0.2">
      <c r="J313" s="146"/>
    </row>
    <row r="314" spans="10:10" s="121" customFormat="1" x14ac:dyDescent="0.2">
      <c r="J314" s="146"/>
    </row>
    <row r="315" spans="10:10" s="121" customFormat="1" x14ac:dyDescent="0.2">
      <c r="J315" s="146"/>
    </row>
    <row r="316" spans="10:10" s="121" customFormat="1" x14ac:dyDescent="0.2">
      <c r="J316" s="146"/>
    </row>
    <row r="317" spans="10:10" s="121" customFormat="1" x14ac:dyDescent="0.2">
      <c r="J317" s="146"/>
    </row>
    <row r="318" spans="10:10" s="121" customFormat="1" x14ac:dyDescent="0.2">
      <c r="J318" s="146"/>
    </row>
    <row r="319" spans="10:10" s="121" customFormat="1" x14ac:dyDescent="0.2">
      <c r="J319" s="146"/>
    </row>
    <row r="320" spans="10:10" s="121" customFormat="1" x14ac:dyDescent="0.2">
      <c r="J320" s="146"/>
    </row>
    <row r="321" spans="10:10" s="121" customFormat="1" x14ac:dyDescent="0.2">
      <c r="J321" s="146"/>
    </row>
    <row r="322" spans="10:10" s="121" customFormat="1" x14ac:dyDescent="0.2">
      <c r="J322" s="146"/>
    </row>
    <row r="323" spans="10:10" s="121" customFormat="1" x14ac:dyDescent="0.2">
      <c r="J323" s="146"/>
    </row>
    <row r="324" spans="10:10" s="121" customFormat="1" x14ac:dyDescent="0.2">
      <c r="J324" s="146"/>
    </row>
    <row r="325" spans="10:10" s="121" customFormat="1" x14ac:dyDescent="0.2">
      <c r="J325" s="146"/>
    </row>
    <row r="326" spans="10:10" s="121" customFormat="1" x14ac:dyDescent="0.2">
      <c r="J326" s="146"/>
    </row>
    <row r="327" spans="10:10" s="121" customFormat="1" x14ac:dyDescent="0.2">
      <c r="J327" s="146"/>
    </row>
    <row r="328" spans="10:10" s="121" customFormat="1" x14ac:dyDescent="0.2">
      <c r="J328" s="146"/>
    </row>
    <row r="329" spans="10:10" s="121" customFormat="1" x14ac:dyDescent="0.2">
      <c r="J329" s="146"/>
    </row>
    <row r="330" spans="10:10" s="121" customFormat="1" x14ac:dyDescent="0.2">
      <c r="J330" s="146"/>
    </row>
    <row r="331" spans="10:10" s="121" customFormat="1" x14ac:dyDescent="0.2">
      <c r="J331" s="146"/>
    </row>
    <row r="332" spans="10:10" s="121" customFormat="1" x14ac:dyDescent="0.2">
      <c r="J332" s="146"/>
    </row>
    <row r="333" spans="10:10" s="121" customFormat="1" x14ac:dyDescent="0.2">
      <c r="J333" s="146"/>
    </row>
    <row r="334" spans="10:10" s="121" customFormat="1" x14ac:dyDescent="0.2">
      <c r="J334" s="146"/>
    </row>
    <row r="335" spans="10:10" s="121" customFormat="1" x14ac:dyDescent="0.2">
      <c r="J335" s="146"/>
    </row>
    <row r="336" spans="10:10" s="121" customFormat="1" x14ac:dyDescent="0.2">
      <c r="J336" s="146"/>
    </row>
    <row r="337" spans="10:10" s="121" customFormat="1" x14ac:dyDescent="0.2">
      <c r="J337" s="146"/>
    </row>
    <row r="338" spans="10:10" s="121" customFormat="1" x14ac:dyDescent="0.2">
      <c r="J338" s="146"/>
    </row>
    <row r="339" spans="10:10" s="121" customFormat="1" x14ac:dyDescent="0.2">
      <c r="J339" s="146"/>
    </row>
    <row r="340" spans="10:10" s="121" customFormat="1" x14ac:dyDescent="0.2">
      <c r="J340" s="146"/>
    </row>
    <row r="341" spans="10:10" s="121" customFormat="1" x14ac:dyDescent="0.2">
      <c r="J341" s="146"/>
    </row>
    <row r="342" spans="10:10" s="121" customFormat="1" x14ac:dyDescent="0.2">
      <c r="J342" s="146"/>
    </row>
    <row r="343" spans="10:10" s="121" customFormat="1" x14ac:dyDescent="0.2">
      <c r="J343" s="146"/>
    </row>
    <row r="344" spans="10:10" s="121" customFormat="1" x14ac:dyDescent="0.2">
      <c r="J344" s="146"/>
    </row>
    <row r="345" spans="10:10" s="121" customFormat="1" x14ac:dyDescent="0.2">
      <c r="J345" s="146"/>
    </row>
    <row r="346" spans="10:10" s="121" customFormat="1" x14ac:dyDescent="0.2">
      <c r="J346" s="146"/>
    </row>
    <row r="347" spans="10:10" s="121" customFormat="1" x14ac:dyDescent="0.2">
      <c r="J347" s="146"/>
    </row>
    <row r="348" spans="10:10" s="121" customFormat="1" x14ac:dyDescent="0.2">
      <c r="J348" s="146"/>
    </row>
    <row r="349" spans="10:10" s="121" customFormat="1" x14ac:dyDescent="0.2">
      <c r="J349" s="146"/>
    </row>
    <row r="350" spans="10:10" s="121" customFormat="1" x14ac:dyDescent="0.2">
      <c r="J350" s="146"/>
    </row>
    <row r="351" spans="10:10" s="121" customFormat="1" x14ac:dyDescent="0.2">
      <c r="J351" s="146"/>
    </row>
    <row r="352" spans="10:10" s="121" customFormat="1" x14ac:dyDescent="0.2">
      <c r="J352" s="146"/>
    </row>
    <row r="353" spans="10:10" s="121" customFormat="1" x14ac:dyDescent="0.2">
      <c r="J353" s="146"/>
    </row>
    <row r="354" spans="10:10" s="121" customFormat="1" x14ac:dyDescent="0.2">
      <c r="J354" s="146"/>
    </row>
    <row r="355" spans="10:10" s="121" customFormat="1" x14ac:dyDescent="0.2">
      <c r="J355" s="146"/>
    </row>
    <row r="356" spans="10:10" s="121" customFormat="1" x14ac:dyDescent="0.2">
      <c r="J356" s="146"/>
    </row>
    <row r="357" spans="10:10" s="121" customFormat="1" x14ac:dyDescent="0.2">
      <c r="J357" s="146"/>
    </row>
    <row r="358" spans="10:10" s="121" customFormat="1" x14ac:dyDescent="0.2">
      <c r="J358" s="146"/>
    </row>
    <row r="359" spans="10:10" s="121" customFormat="1" x14ac:dyDescent="0.2">
      <c r="J359" s="146"/>
    </row>
    <row r="360" spans="10:10" s="121" customFormat="1" x14ac:dyDescent="0.2">
      <c r="J360" s="146"/>
    </row>
    <row r="361" spans="10:10" s="121" customFormat="1" x14ac:dyDescent="0.2">
      <c r="J361" s="146"/>
    </row>
    <row r="362" spans="10:10" s="121" customFormat="1" x14ac:dyDescent="0.2">
      <c r="J362" s="146"/>
    </row>
    <row r="363" spans="10:10" s="121" customFormat="1" x14ac:dyDescent="0.2">
      <c r="J363" s="146"/>
    </row>
    <row r="364" spans="10:10" s="121" customFormat="1" x14ac:dyDescent="0.2">
      <c r="J364" s="146"/>
    </row>
    <row r="365" spans="10:10" s="121" customFormat="1" x14ac:dyDescent="0.2">
      <c r="J365" s="146"/>
    </row>
    <row r="366" spans="10:10" s="121" customFormat="1" x14ac:dyDescent="0.2">
      <c r="J366" s="146"/>
    </row>
    <row r="367" spans="10:10" s="121" customFormat="1" x14ac:dyDescent="0.2">
      <c r="J367" s="146"/>
    </row>
    <row r="368" spans="10:10" s="121" customFormat="1" x14ac:dyDescent="0.2">
      <c r="J368" s="146"/>
    </row>
    <row r="369" spans="10:10" s="121" customFormat="1" x14ac:dyDescent="0.2">
      <c r="J369" s="146"/>
    </row>
    <row r="370" spans="10:10" s="121" customFormat="1" x14ac:dyDescent="0.2">
      <c r="J370" s="146"/>
    </row>
    <row r="371" spans="10:10" s="121" customFormat="1" x14ac:dyDescent="0.2">
      <c r="J371" s="146"/>
    </row>
    <row r="372" spans="10:10" s="121" customFormat="1" x14ac:dyDescent="0.2">
      <c r="J372" s="146"/>
    </row>
    <row r="373" spans="10:10" s="121" customFormat="1" x14ac:dyDescent="0.2">
      <c r="J373" s="146"/>
    </row>
    <row r="374" spans="10:10" s="121" customFormat="1" x14ac:dyDescent="0.2">
      <c r="J374" s="146"/>
    </row>
    <row r="375" spans="10:10" s="121" customFormat="1" x14ac:dyDescent="0.2">
      <c r="J375" s="146"/>
    </row>
    <row r="376" spans="10:10" s="121" customFormat="1" x14ac:dyDescent="0.2">
      <c r="J376" s="146"/>
    </row>
    <row r="377" spans="10:10" s="121" customFormat="1" x14ac:dyDescent="0.2">
      <c r="J377" s="146"/>
    </row>
    <row r="378" spans="10:10" s="121" customFormat="1" x14ac:dyDescent="0.2">
      <c r="J378" s="146"/>
    </row>
    <row r="379" spans="10:10" s="121" customFormat="1" x14ac:dyDescent="0.2">
      <c r="J379" s="146"/>
    </row>
    <row r="380" spans="10:10" s="121" customFormat="1" x14ac:dyDescent="0.2">
      <c r="J380" s="146"/>
    </row>
    <row r="381" spans="10:10" s="121" customFormat="1" x14ac:dyDescent="0.2">
      <c r="J381" s="146"/>
    </row>
    <row r="382" spans="10:10" s="121" customFormat="1" x14ac:dyDescent="0.2">
      <c r="J382" s="146"/>
    </row>
    <row r="383" spans="10:10" s="121" customFormat="1" x14ac:dyDescent="0.2">
      <c r="J383" s="146"/>
    </row>
    <row r="384" spans="10:10" s="121" customFormat="1" x14ac:dyDescent="0.2">
      <c r="J384" s="146"/>
    </row>
    <row r="385" spans="10:10" s="121" customFormat="1" x14ac:dyDescent="0.2">
      <c r="J385" s="146"/>
    </row>
    <row r="386" spans="10:10" s="121" customFormat="1" x14ac:dyDescent="0.2">
      <c r="J386" s="146"/>
    </row>
    <row r="387" spans="10:10" s="121" customFormat="1" x14ac:dyDescent="0.2">
      <c r="J387" s="146"/>
    </row>
    <row r="388" spans="10:10" s="121" customFormat="1" x14ac:dyDescent="0.2">
      <c r="J388" s="146"/>
    </row>
    <row r="389" spans="10:10" s="121" customFormat="1" x14ac:dyDescent="0.2">
      <c r="J389" s="146"/>
    </row>
    <row r="390" spans="10:10" s="121" customFormat="1" x14ac:dyDescent="0.2">
      <c r="J390" s="146"/>
    </row>
    <row r="391" spans="10:10" s="121" customFormat="1" x14ac:dyDescent="0.2">
      <c r="J391" s="146"/>
    </row>
    <row r="392" spans="10:10" s="121" customFormat="1" x14ac:dyDescent="0.2">
      <c r="J392" s="146"/>
    </row>
    <row r="393" spans="10:10" s="121" customFormat="1" x14ac:dyDescent="0.2">
      <c r="J393" s="146"/>
    </row>
    <row r="394" spans="10:10" s="121" customFormat="1" x14ac:dyDescent="0.2">
      <c r="J394" s="146"/>
    </row>
    <row r="395" spans="10:10" s="121" customFormat="1" x14ac:dyDescent="0.2">
      <c r="J395" s="146"/>
    </row>
    <row r="396" spans="10:10" s="121" customFormat="1" x14ac:dyDescent="0.2">
      <c r="J396" s="146"/>
    </row>
    <row r="397" spans="10:10" s="121" customFormat="1" x14ac:dyDescent="0.2">
      <c r="J397" s="146"/>
    </row>
    <row r="398" spans="10:10" s="121" customFormat="1" x14ac:dyDescent="0.2">
      <c r="J398" s="146"/>
    </row>
    <row r="399" spans="10:10" s="121" customFormat="1" x14ac:dyDescent="0.2">
      <c r="J399" s="146"/>
    </row>
    <row r="400" spans="10:10" s="121" customFormat="1" x14ac:dyDescent="0.2">
      <c r="J400" s="146"/>
    </row>
    <row r="401" spans="10:10" s="121" customFormat="1" x14ac:dyDescent="0.2">
      <c r="J401" s="146"/>
    </row>
    <row r="402" spans="10:10" s="121" customFormat="1" x14ac:dyDescent="0.2">
      <c r="J402" s="146"/>
    </row>
    <row r="403" spans="10:10" s="121" customFormat="1" x14ac:dyDescent="0.2">
      <c r="J403" s="146"/>
    </row>
    <row r="404" spans="10:10" s="121" customFormat="1" x14ac:dyDescent="0.2">
      <c r="J404" s="146"/>
    </row>
    <row r="405" spans="10:10" s="121" customFormat="1" x14ac:dyDescent="0.2">
      <c r="J405" s="146"/>
    </row>
    <row r="406" spans="10:10" s="121" customFormat="1" x14ac:dyDescent="0.2">
      <c r="J406" s="146"/>
    </row>
    <row r="407" spans="10:10" s="121" customFormat="1" x14ac:dyDescent="0.2">
      <c r="J407" s="146"/>
    </row>
    <row r="408" spans="10:10" s="121" customFormat="1" x14ac:dyDescent="0.2">
      <c r="J408" s="146"/>
    </row>
    <row r="409" spans="10:10" s="121" customFormat="1" x14ac:dyDescent="0.2">
      <c r="J409" s="146"/>
    </row>
    <row r="410" spans="10:10" s="121" customFormat="1" x14ac:dyDescent="0.2">
      <c r="J410" s="146"/>
    </row>
    <row r="411" spans="10:10" s="121" customFormat="1" x14ac:dyDescent="0.2">
      <c r="J411" s="146"/>
    </row>
    <row r="412" spans="10:10" s="121" customFormat="1" x14ac:dyDescent="0.2">
      <c r="J412" s="146"/>
    </row>
    <row r="413" spans="10:10" s="121" customFormat="1" x14ac:dyDescent="0.2">
      <c r="J413" s="146"/>
    </row>
    <row r="414" spans="10:10" s="121" customFormat="1" x14ac:dyDescent="0.2">
      <c r="J414" s="146"/>
    </row>
    <row r="415" spans="10:10" s="121" customFormat="1" x14ac:dyDescent="0.2">
      <c r="J415" s="146"/>
    </row>
    <row r="416" spans="10:10" s="121" customFormat="1" x14ac:dyDescent="0.2">
      <c r="J416" s="146"/>
    </row>
    <row r="417" spans="10:10" s="121" customFormat="1" x14ac:dyDescent="0.2">
      <c r="J417" s="146"/>
    </row>
    <row r="418" spans="10:10" s="121" customFormat="1" x14ac:dyDescent="0.2">
      <c r="J418" s="146"/>
    </row>
    <row r="419" spans="10:10" s="121" customFormat="1" x14ac:dyDescent="0.2">
      <c r="J419" s="146"/>
    </row>
    <row r="420" spans="10:10" s="121" customFormat="1" x14ac:dyDescent="0.2">
      <c r="J420" s="146"/>
    </row>
    <row r="421" spans="10:10" s="121" customFormat="1" x14ac:dyDescent="0.2">
      <c r="J421" s="146"/>
    </row>
    <row r="422" spans="10:10" s="121" customFormat="1" x14ac:dyDescent="0.2">
      <c r="J422" s="146"/>
    </row>
    <row r="423" spans="10:10" s="121" customFormat="1" x14ac:dyDescent="0.2">
      <c r="J423" s="146"/>
    </row>
    <row r="424" spans="10:10" s="121" customFormat="1" x14ac:dyDescent="0.2">
      <c r="J424" s="146"/>
    </row>
    <row r="425" spans="10:10" s="121" customFormat="1" x14ac:dyDescent="0.2">
      <c r="J425" s="146"/>
    </row>
    <row r="426" spans="10:10" s="121" customFormat="1" x14ac:dyDescent="0.2">
      <c r="J426" s="146"/>
    </row>
    <row r="427" spans="10:10" s="121" customFormat="1" x14ac:dyDescent="0.2">
      <c r="J427" s="146"/>
    </row>
    <row r="428" spans="10:10" s="121" customFormat="1" x14ac:dyDescent="0.2">
      <c r="J428" s="146"/>
    </row>
    <row r="429" spans="10:10" s="121" customFormat="1" x14ac:dyDescent="0.2">
      <c r="J429" s="146"/>
    </row>
    <row r="430" spans="10:10" s="121" customFormat="1" x14ac:dyDescent="0.2">
      <c r="J430" s="146"/>
    </row>
    <row r="431" spans="10:10" s="121" customFormat="1" x14ac:dyDescent="0.2">
      <c r="J431" s="146"/>
    </row>
    <row r="432" spans="10:10" s="121" customFormat="1" x14ac:dyDescent="0.2">
      <c r="J432" s="146"/>
    </row>
    <row r="433" spans="10:10" s="121" customFormat="1" x14ac:dyDescent="0.2">
      <c r="J433" s="146"/>
    </row>
    <row r="434" spans="10:10" s="121" customFormat="1" x14ac:dyDescent="0.2">
      <c r="J434" s="146"/>
    </row>
    <row r="435" spans="10:10" s="121" customFormat="1" x14ac:dyDescent="0.2">
      <c r="J435" s="146"/>
    </row>
    <row r="436" spans="10:10" s="121" customFormat="1" x14ac:dyDescent="0.2">
      <c r="J436" s="146"/>
    </row>
    <row r="437" spans="10:10" s="121" customFormat="1" x14ac:dyDescent="0.2">
      <c r="J437" s="146"/>
    </row>
    <row r="438" spans="10:10" s="121" customFormat="1" x14ac:dyDescent="0.2">
      <c r="J438" s="146"/>
    </row>
    <row r="439" spans="10:10" s="121" customFormat="1" x14ac:dyDescent="0.2">
      <c r="J439" s="146"/>
    </row>
    <row r="440" spans="10:10" s="121" customFormat="1" x14ac:dyDescent="0.2">
      <c r="J440" s="146"/>
    </row>
    <row r="441" spans="10:10" s="121" customFormat="1" x14ac:dyDescent="0.2">
      <c r="J441" s="146"/>
    </row>
    <row r="442" spans="10:10" s="121" customFormat="1" x14ac:dyDescent="0.2">
      <c r="J442" s="146"/>
    </row>
    <row r="443" spans="10:10" s="121" customFormat="1" x14ac:dyDescent="0.2">
      <c r="J443" s="146"/>
    </row>
    <row r="444" spans="10:10" s="121" customFormat="1" x14ac:dyDescent="0.2">
      <c r="J444" s="146"/>
    </row>
    <row r="445" spans="10:10" s="121" customFormat="1" x14ac:dyDescent="0.2">
      <c r="J445" s="146"/>
    </row>
    <row r="446" spans="10:10" s="121" customFormat="1" x14ac:dyDescent="0.2">
      <c r="J446" s="146"/>
    </row>
    <row r="447" spans="10:10" s="121" customFormat="1" x14ac:dyDescent="0.2">
      <c r="J447" s="146"/>
    </row>
    <row r="448" spans="10:10" s="121" customFormat="1" x14ac:dyDescent="0.2">
      <c r="J448" s="146"/>
    </row>
    <row r="449" spans="10:10" s="121" customFormat="1" x14ac:dyDescent="0.2">
      <c r="J449" s="146"/>
    </row>
    <row r="450" spans="10:10" s="121" customFormat="1" x14ac:dyDescent="0.2">
      <c r="J450" s="146"/>
    </row>
    <row r="451" spans="10:10" s="121" customFormat="1" x14ac:dyDescent="0.2">
      <c r="J451" s="146"/>
    </row>
    <row r="452" spans="10:10" s="121" customFormat="1" x14ac:dyDescent="0.2">
      <c r="J452" s="146"/>
    </row>
    <row r="453" spans="10:10" s="121" customFormat="1" x14ac:dyDescent="0.2">
      <c r="J453" s="146"/>
    </row>
    <row r="454" spans="10:10" s="121" customFormat="1" x14ac:dyDescent="0.2">
      <c r="J454" s="146"/>
    </row>
    <row r="455" spans="10:10" s="121" customFormat="1" x14ac:dyDescent="0.2">
      <c r="J455" s="146"/>
    </row>
    <row r="456" spans="10:10" s="121" customFormat="1" x14ac:dyDescent="0.2">
      <c r="J456" s="146"/>
    </row>
    <row r="457" spans="10:10" s="121" customFormat="1" x14ac:dyDescent="0.2">
      <c r="J457" s="146"/>
    </row>
    <row r="458" spans="10:10" s="121" customFormat="1" x14ac:dyDescent="0.2">
      <c r="J458" s="146"/>
    </row>
    <row r="459" spans="10:10" s="121" customFormat="1" x14ac:dyDescent="0.2">
      <c r="J459" s="146"/>
    </row>
    <row r="460" spans="10:10" s="121" customFormat="1" x14ac:dyDescent="0.2">
      <c r="J460" s="146"/>
    </row>
    <row r="461" spans="10:10" s="121" customFormat="1" x14ac:dyDescent="0.2">
      <c r="J461" s="146"/>
    </row>
    <row r="462" spans="10:10" s="121" customFormat="1" x14ac:dyDescent="0.2">
      <c r="J462" s="146"/>
    </row>
    <row r="463" spans="10:10" s="121" customFormat="1" x14ac:dyDescent="0.2">
      <c r="J463" s="146"/>
    </row>
    <row r="464" spans="10:10" s="121" customFormat="1" x14ac:dyDescent="0.2">
      <c r="J464" s="146"/>
    </row>
    <row r="465" spans="10:10" s="121" customFormat="1" x14ac:dyDescent="0.2">
      <c r="J465" s="146"/>
    </row>
    <row r="466" spans="10:10" s="121" customFormat="1" x14ac:dyDescent="0.2">
      <c r="J466" s="146"/>
    </row>
    <row r="467" spans="10:10" s="121" customFormat="1" x14ac:dyDescent="0.2">
      <c r="J467" s="146"/>
    </row>
    <row r="468" spans="10:10" s="121" customFormat="1" x14ac:dyDescent="0.2">
      <c r="J468" s="146"/>
    </row>
    <row r="469" spans="10:10" s="121" customFormat="1" x14ac:dyDescent="0.2">
      <c r="J469" s="146"/>
    </row>
    <row r="470" spans="10:10" s="121" customFormat="1" x14ac:dyDescent="0.2">
      <c r="J470" s="146"/>
    </row>
    <row r="471" spans="10:10" s="121" customFormat="1" x14ac:dyDescent="0.2">
      <c r="J471" s="146"/>
    </row>
    <row r="472" spans="10:10" s="121" customFormat="1" x14ac:dyDescent="0.2">
      <c r="J472" s="146"/>
    </row>
    <row r="473" spans="10:10" s="121" customFormat="1" x14ac:dyDescent="0.2">
      <c r="J473" s="146"/>
    </row>
    <row r="474" spans="10:10" s="121" customFormat="1" x14ac:dyDescent="0.2">
      <c r="J474" s="146"/>
    </row>
    <row r="475" spans="10:10" s="121" customFormat="1" x14ac:dyDescent="0.2">
      <c r="J475" s="146"/>
    </row>
    <row r="476" spans="10:10" s="121" customFormat="1" x14ac:dyDescent="0.2">
      <c r="J476" s="146"/>
    </row>
    <row r="477" spans="10:10" s="121" customFormat="1" x14ac:dyDescent="0.2">
      <c r="J477" s="146"/>
    </row>
    <row r="478" spans="10:10" s="121" customFormat="1" x14ac:dyDescent="0.2">
      <c r="J478" s="146"/>
    </row>
    <row r="479" spans="10:10" s="121" customFormat="1" x14ac:dyDescent="0.2">
      <c r="J479" s="146"/>
    </row>
    <row r="480" spans="10:10" s="121" customFormat="1" x14ac:dyDescent="0.2">
      <c r="J480" s="146"/>
    </row>
    <row r="481" spans="10:10" s="121" customFormat="1" x14ac:dyDescent="0.2">
      <c r="J481" s="146"/>
    </row>
    <row r="482" spans="10:10" s="121" customFormat="1" x14ac:dyDescent="0.2">
      <c r="J482" s="146"/>
    </row>
    <row r="483" spans="10:10" s="121" customFormat="1" x14ac:dyDescent="0.2">
      <c r="J483" s="146"/>
    </row>
    <row r="484" spans="10:10" s="121" customFormat="1" x14ac:dyDescent="0.2">
      <c r="J484" s="146"/>
    </row>
    <row r="485" spans="10:10" s="121" customFormat="1" x14ac:dyDescent="0.2">
      <c r="J485" s="146"/>
    </row>
    <row r="486" spans="10:10" s="121" customFormat="1" x14ac:dyDescent="0.2">
      <c r="J486" s="146"/>
    </row>
    <row r="487" spans="10:10" s="121" customFormat="1" x14ac:dyDescent="0.2">
      <c r="J487" s="146"/>
    </row>
    <row r="488" spans="10:10" s="121" customFormat="1" x14ac:dyDescent="0.2">
      <c r="J488" s="146"/>
    </row>
    <row r="489" spans="10:10" s="121" customFormat="1" x14ac:dyDescent="0.2">
      <c r="J489" s="146"/>
    </row>
    <row r="490" spans="10:10" s="121" customFormat="1" x14ac:dyDescent="0.2">
      <c r="J490" s="146"/>
    </row>
    <row r="491" spans="10:10" s="121" customFormat="1" x14ac:dyDescent="0.2">
      <c r="J491" s="146"/>
    </row>
    <row r="492" spans="10:10" s="121" customFormat="1" x14ac:dyDescent="0.2">
      <c r="J492" s="146"/>
    </row>
    <row r="493" spans="10:10" s="121" customFormat="1" x14ac:dyDescent="0.2">
      <c r="J493" s="146"/>
    </row>
    <row r="494" spans="10:10" s="121" customFormat="1" x14ac:dyDescent="0.2">
      <c r="J494" s="146"/>
    </row>
    <row r="495" spans="10:10" s="121" customFormat="1" x14ac:dyDescent="0.2">
      <c r="J495" s="146"/>
    </row>
    <row r="496" spans="10:10" s="121" customFormat="1" x14ac:dyDescent="0.2">
      <c r="J496" s="146"/>
    </row>
    <row r="497" spans="10:10" s="121" customFormat="1" x14ac:dyDescent="0.2">
      <c r="J497" s="146"/>
    </row>
    <row r="498" spans="10:10" s="121" customFormat="1" x14ac:dyDescent="0.2">
      <c r="J498" s="146"/>
    </row>
    <row r="499" spans="10:10" s="121" customFormat="1" x14ac:dyDescent="0.2">
      <c r="J499" s="146"/>
    </row>
    <row r="500" spans="10:10" s="121" customFormat="1" x14ac:dyDescent="0.2">
      <c r="J500" s="146"/>
    </row>
    <row r="501" spans="10:10" s="121" customFormat="1" x14ac:dyDescent="0.2">
      <c r="J501" s="146"/>
    </row>
    <row r="502" spans="10:10" s="121" customFormat="1" x14ac:dyDescent="0.2">
      <c r="J502" s="146"/>
    </row>
    <row r="503" spans="10:10" s="121" customFormat="1" x14ac:dyDescent="0.2">
      <c r="J503" s="146"/>
    </row>
    <row r="504" spans="10:10" s="121" customFormat="1" x14ac:dyDescent="0.2">
      <c r="J504" s="146"/>
    </row>
    <row r="505" spans="10:10" s="121" customFormat="1" x14ac:dyDescent="0.2">
      <c r="J505" s="146"/>
    </row>
    <row r="506" spans="10:10" s="121" customFormat="1" x14ac:dyDescent="0.2">
      <c r="J506" s="146"/>
    </row>
    <row r="507" spans="10:10" s="121" customFormat="1" x14ac:dyDescent="0.2">
      <c r="J507" s="146"/>
    </row>
    <row r="508" spans="10:10" s="121" customFormat="1" x14ac:dyDescent="0.2">
      <c r="J508" s="146"/>
    </row>
    <row r="509" spans="10:10" s="121" customFormat="1" x14ac:dyDescent="0.2">
      <c r="J509" s="146"/>
    </row>
    <row r="510" spans="10:10" s="121" customFormat="1" x14ac:dyDescent="0.2">
      <c r="J510" s="146"/>
    </row>
    <row r="511" spans="10:10" s="121" customFormat="1" x14ac:dyDescent="0.2">
      <c r="J511" s="146"/>
    </row>
    <row r="512" spans="10:10" s="121" customFormat="1" x14ac:dyDescent="0.2">
      <c r="J512" s="146"/>
    </row>
    <row r="513" spans="10:10" s="121" customFormat="1" x14ac:dyDescent="0.2">
      <c r="J513" s="146"/>
    </row>
    <row r="514" spans="10:10" s="121" customFormat="1" x14ac:dyDescent="0.2">
      <c r="J514" s="146"/>
    </row>
    <row r="515" spans="10:10" s="121" customFormat="1" x14ac:dyDescent="0.2">
      <c r="J515" s="146"/>
    </row>
    <row r="516" spans="10:10" s="121" customFormat="1" x14ac:dyDescent="0.2">
      <c r="J516" s="146"/>
    </row>
    <row r="517" spans="10:10" s="121" customFormat="1" x14ac:dyDescent="0.2">
      <c r="J517" s="146"/>
    </row>
    <row r="518" spans="10:10" s="121" customFormat="1" x14ac:dyDescent="0.2">
      <c r="J518" s="146"/>
    </row>
    <row r="519" spans="10:10" s="121" customFormat="1" x14ac:dyDescent="0.2">
      <c r="J519" s="146"/>
    </row>
    <row r="520" spans="10:10" s="121" customFormat="1" x14ac:dyDescent="0.2">
      <c r="J520" s="146"/>
    </row>
    <row r="521" spans="10:10" s="121" customFormat="1" x14ac:dyDescent="0.2">
      <c r="J521" s="146"/>
    </row>
    <row r="522" spans="10:10" s="121" customFormat="1" x14ac:dyDescent="0.2">
      <c r="J522" s="146"/>
    </row>
    <row r="523" spans="10:10" s="121" customFormat="1" x14ac:dyDescent="0.2">
      <c r="J523" s="146"/>
    </row>
    <row r="524" spans="10:10" s="121" customFormat="1" x14ac:dyDescent="0.2">
      <c r="J524" s="146"/>
    </row>
    <row r="525" spans="10:10" s="121" customFormat="1" x14ac:dyDescent="0.2">
      <c r="J525" s="146"/>
    </row>
    <row r="526" spans="10:10" s="121" customFormat="1" x14ac:dyDescent="0.2">
      <c r="J526" s="146"/>
    </row>
    <row r="527" spans="10:10" s="121" customFormat="1" x14ac:dyDescent="0.2">
      <c r="J527" s="146"/>
    </row>
    <row r="528" spans="10:10" s="121" customFormat="1" x14ac:dyDescent="0.2">
      <c r="J528" s="146"/>
    </row>
    <row r="529" spans="10:10" s="121" customFormat="1" x14ac:dyDescent="0.2">
      <c r="J529" s="146"/>
    </row>
    <row r="530" spans="10:10" s="121" customFormat="1" x14ac:dyDescent="0.2">
      <c r="J530" s="146"/>
    </row>
    <row r="531" spans="10:10" s="121" customFormat="1" x14ac:dyDescent="0.2">
      <c r="J531" s="146"/>
    </row>
    <row r="532" spans="10:10" s="121" customFormat="1" x14ac:dyDescent="0.2">
      <c r="J532" s="146"/>
    </row>
    <row r="533" spans="10:10" s="121" customFormat="1" x14ac:dyDescent="0.2">
      <c r="J533" s="146"/>
    </row>
    <row r="534" spans="10:10" s="121" customFormat="1" x14ac:dyDescent="0.2">
      <c r="J534" s="146"/>
    </row>
    <row r="535" spans="10:10" s="121" customFormat="1" x14ac:dyDescent="0.2">
      <c r="J535" s="146"/>
    </row>
    <row r="536" spans="10:10" s="121" customFormat="1" x14ac:dyDescent="0.2">
      <c r="J536" s="146"/>
    </row>
    <row r="537" spans="10:10" s="121" customFormat="1" x14ac:dyDescent="0.2">
      <c r="J537" s="146"/>
    </row>
    <row r="538" spans="10:10" s="121" customFormat="1" x14ac:dyDescent="0.2">
      <c r="J538" s="146"/>
    </row>
    <row r="539" spans="10:10" s="121" customFormat="1" x14ac:dyDescent="0.2">
      <c r="J539" s="146"/>
    </row>
    <row r="540" spans="10:10" s="121" customFormat="1" x14ac:dyDescent="0.2">
      <c r="J540" s="146"/>
    </row>
    <row r="541" spans="10:10" s="121" customFormat="1" x14ac:dyDescent="0.2">
      <c r="J541" s="146"/>
    </row>
    <row r="542" spans="10:10" s="121" customFormat="1" x14ac:dyDescent="0.2">
      <c r="J542" s="146"/>
    </row>
    <row r="543" spans="10:10" s="121" customFormat="1" x14ac:dyDescent="0.2">
      <c r="J543" s="146"/>
    </row>
    <row r="544" spans="10:10" s="121" customFormat="1" x14ac:dyDescent="0.2">
      <c r="J544" s="146"/>
    </row>
    <row r="545" spans="10:10" s="121" customFormat="1" x14ac:dyDescent="0.2">
      <c r="J545" s="146"/>
    </row>
    <row r="546" spans="10:10" s="121" customFormat="1" x14ac:dyDescent="0.2">
      <c r="J546" s="146"/>
    </row>
    <row r="547" spans="10:10" s="121" customFormat="1" x14ac:dyDescent="0.2">
      <c r="J547" s="146"/>
    </row>
    <row r="548" spans="10:10" s="121" customFormat="1" x14ac:dyDescent="0.2">
      <c r="J548" s="146"/>
    </row>
    <row r="549" spans="10:10" s="121" customFormat="1" x14ac:dyDescent="0.2">
      <c r="J549" s="146"/>
    </row>
    <row r="550" spans="10:10" s="121" customFormat="1" x14ac:dyDescent="0.2">
      <c r="J550" s="146"/>
    </row>
    <row r="551" spans="10:10" s="121" customFormat="1" x14ac:dyDescent="0.2">
      <c r="J551" s="146"/>
    </row>
    <row r="552" spans="10:10" s="121" customFormat="1" x14ac:dyDescent="0.2">
      <c r="J552" s="146"/>
    </row>
    <row r="553" spans="10:10" s="121" customFormat="1" x14ac:dyDescent="0.2">
      <c r="J553" s="146"/>
    </row>
    <row r="554" spans="10:10" s="121" customFormat="1" x14ac:dyDescent="0.2">
      <c r="J554" s="146"/>
    </row>
    <row r="555" spans="10:10" s="121" customFormat="1" x14ac:dyDescent="0.2">
      <c r="J555" s="146"/>
    </row>
    <row r="556" spans="10:10" s="121" customFormat="1" x14ac:dyDescent="0.2">
      <c r="J556" s="146"/>
    </row>
    <row r="557" spans="10:10" s="121" customFormat="1" x14ac:dyDescent="0.2">
      <c r="J557" s="146"/>
    </row>
    <row r="558" spans="10:10" s="121" customFormat="1" x14ac:dyDescent="0.2">
      <c r="J558" s="146"/>
    </row>
    <row r="559" spans="10:10" s="121" customFormat="1" x14ac:dyDescent="0.2">
      <c r="J559" s="146"/>
    </row>
    <row r="560" spans="10:10" s="121" customFormat="1" x14ac:dyDescent="0.2">
      <c r="J560" s="146"/>
    </row>
    <row r="561" spans="10:10" s="121" customFormat="1" x14ac:dyDescent="0.2">
      <c r="J561" s="146"/>
    </row>
    <row r="562" spans="10:10" s="121" customFormat="1" x14ac:dyDescent="0.2">
      <c r="J562" s="146"/>
    </row>
    <row r="563" spans="10:10" s="121" customFormat="1" x14ac:dyDescent="0.2">
      <c r="J563" s="146"/>
    </row>
    <row r="564" spans="10:10" s="121" customFormat="1" x14ac:dyDescent="0.2">
      <c r="J564" s="146"/>
    </row>
    <row r="565" spans="10:10" s="121" customFormat="1" x14ac:dyDescent="0.2">
      <c r="J565" s="146"/>
    </row>
    <row r="566" spans="10:10" s="121" customFormat="1" x14ac:dyDescent="0.2">
      <c r="J566" s="146"/>
    </row>
    <row r="567" spans="10:10" s="121" customFormat="1" x14ac:dyDescent="0.2">
      <c r="J567" s="146"/>
    </row>
    <row r="568" spans="10:10" s="121" customFormat="1" x14ac:dyDescent="0.2">
      <c r="J568" s="146"/>
    </row>
    <row r="569" spans="10:10" s="121" customFormat="1" x14ac:dyDescent="0.2">
      <c r="J569" s="146"/>
    </row>
    <row r="570" spans="10:10" s="121" customFormat="1" x14ac:dyDescent="0.2">
      <c r="J570" s="146"/>
    </row>
    <row r="571" spans="10:10" s="121" customFormat="1" x14ac:dyDescent="0.2">
      <c r="J571" s="146"/>
    </row>
    <row r="572" spans="10:10" s="121" customFormat="1" x14ac:dyDescent="0.2">
      <c r="J572" s="146"/>
    </row>
    <row r="573" spans="10:10" s="121" customFormat="1" x14ac:dyDescent="0.2">
      <c r="J573" s="146"/>
    </row>
    <row r="574" spans="10:10" s="121" customFormat="1" x14ac:dyDescent="0.2">
      <c r="J574" s="146"/>
    </row>
    <row r="575" spans="10:10" s="121" customFormat="1" x14ac:dyDescent="0.2">
      <c r="J575" s="146"/>
    </row>
    <row r="576" spans="10:10" s="121" customFormat="1" x14ac:dyDescent="0.2">
      <c r="J576" s="146"/>
    </row>
    <row r="577" spans="10:10" s="121" customFormat="1" x14ac:dyDescent="0.2">
      <c r="J577" s="146"/>
    </row>
    <row r="578" spans="10:10" s="121" customFormat="1" x14ac:dyDescent="0.2">
      <c r="J578" s="146"/>
    </row>
    <row r="579" spans="10:10" s="121" customFormat="1" x14ac:dyDescent="0.2">
      <c r="J579" s="146"/>
    </row>
    <row r="580" spans="10:10" s="121" customFormat="1" x14ac:dyDescent="0.2">
      <c r="J580" s="146"/>
    </row>
  </sheetData>
  <sheetProtection algorithmName="SHA-512" hashValue="40RRIZHR5WUnFZnuBgmeqcueJWjzrIOAacjKCWeaTxPGADeAtbCamv6J+6MSvL00BaeZdr1tOPuvRLeg32+GaA==" saltValue="uwkKSXyKE0UMsOsqVEqGyA==" spinCount="100000" sheet="1" objects="1" scenarios="1" formatCells="0" formatColumns="0" formatRows="0"/>
  <dataConsolidate/>
  <mergeCells count="52">
    <mergeCell ref="B182:C182"/>
    <mergeCell ref="B196:C196"/>
    <mergeCell ref="B202:C202"/>
    <mergeCell ref="B144:C144"/>
    <mergeCell ref="B146:C146"/>
    <mergeCell ref="B148:C148"/>
    <mergeCell ref="B160:C160"/>
    <mergeCell ref="B167:J167"/>
    <mergeCell ref="B169:J169"/>
    <mergeCell ref="B174:J174"/>
    <mergeCell ref="B180:C180"/>
    <mergeCell ref="B184:C184"/>
    <mergeCell ref="B172:J172"/>
    <mergeCell ref="B173:J173"/>
    <mergeCell ref="B24:J24"/>
    <mergeCell ref="B26:J26"/>
    <mergeCell ref="B34:J34"/>
    <mergeCell ref="B99:J99"/>
    <mergeCell ref="B142:C142"/>
    <mergeCell ref="B113:C113"/>
    <mergeCell ref="B119:C119"/>
    <mergeCell ref="B138:C138"/>
    <mergeCell ref="B130:J130"/>
    <mergeCell ref="B131:J131"/>
    <mergeCell ref="B29:J29"/>
    <mergeCell ref="B126:J126"/>
    <mergeCell ref="B129:J129"/>
    <mergeCell ref="B132:J132"/>
    <mergeCell ref="B46:C46"/>
    <mergeCell ref="B50:C50"/>
    <mergeCell ref="B90:J90"/>
    <mergeCell ref="B15:J15"/>
    <mergeCell ref="B16:J16"/>
    <mergeCell ref="B14:J14"/>
    <mergeCell ref="B109:C109"/>
    <mergeCell ref="B62:C66"/>
    <mergeCell ref="B33:J33"/>
    <mergeCell ref="B30:J30"/>
    <mergeCell ref="B31:J31"/>
    <mergeCell ref="B32:J32"/>
    <mergeCell ref="B100:J100"/>
    <mergeCell ref="B101:J101"/>
    <mergeCell ref="B20:J20"/>
    <mergeCell ref="B94:J94"/>
    <mergeCell ref="E50:I50"/>
    <mergeCell ref="B92:J92"/>
    <mergeCell ref="B22:J22"/>
    <mergeCell ref="B2:I2"/>
    <mergeCell ref="B4:J4"/>
    <mergeCell ref="B6:J6"/>
    <mergeCell ref="B9:J9"/>
    <mergeCell ref="B13:J13"/>
  </mergeCells>
  <dataValidations count="7">
    <dataValidation type="list" allowBlank="1" showInputMessage="1" showErrorMessage="1" sqref="C140">
      <formula1>paper</formula1>
    </dataValidation>
    <dataValidation type="list" allowBlank="1" showInputMessage="1" showErrorMessage="1" sqref="E138">
      <formula1>Yes_No?</formula1>
    </dataValidation>
    <dataValidation type="list" allowBlank="1" showInputMessage="1" showErrorMessage="1" sqref="C194">
      <formula1>solubility</formula1>
    </dataValidation>
    <dataValidation type="list" allowBlank="1" showInputMessage="1" showErrorMessage="1" sqref="C58">
      <formula1>vapour_pressure</formula1>
    </dataValidation>
    <dataValidation type="list" allowBlank="1" showInputMessage="1" showErrorMessage="1" sqref="E50:I50">
      <formula1>tonnage_range_paper</formula1>
    </dataValidation>
    <dataValidation type="list" allowBlank="1" showInputMessage="1" showErrorMessage="1" sqref="C107">
      <formula1>Select_type_of_paper</formula1>
    </dataValidation>
    <dataValidation type="list" allowBlank="1" showInputMessage="1" showErrorMessage="1" sqref="C111">
      <formula1>volatility</formula1>
    </dataValidation>
  </dataValidations>
  <hyperlinks>
    <hyperlink ref="B206" location="'PT6-paper'!A1" display="Go to the top of the page"/>
    <hyperlink ref="B164" location="'PT6-paper'!A1" display="Go to the top of the page"/>
    <hyperlink ref="B123" location="'PT6-paper'!A1" display="Go to the top of the page"/>
    <hyperlink ref="B87" location="'PT6-paper'!A1" display="Go to the top of the page"/>
    <hyperlink ref="B9:J9" location="'PT6-paper'!Emission_estimation_for_the_formulation_process_of_additives_used_in_the_paper_production__ESD_§_3.3.1.4.1" display="Emission estimation for the formulation process of additives used in the paper production (ESD § 3.3.1.4.1)"/>
    <hyperlink ref="B13:J13" location="'PT6-paper'!_1._Emission_scenario_for_calculating_the_release_from_drying_sections_after_size_pressing_and_coating__ESD_Table_23__p.52" display="1. Emission scenario for calculating the release from drying sections after size pressing and coating (ESD Table 23, p.52)"/>
    <hyperlink ref="B14:J14" location="'PT6-paper'!_2._Emission_scenario_for_calculating_the_release_from__broke___ESD_Table_24__p.53" display="2. Emission scenario for calculating the release from &quot;broke&quot; (ESD Table 24, p.53)"/>
    <hyperlink ref="B16:J16" location="'PT6-paper'!Emission_scenario_for_paper_recycling__ESD_Table_25__p.53" display="Emission scenario for paper recycling (ESD Table 25, p.53)"/>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507"/>
  <sheetViews>
    <sheetView zoomScale="87" zoomScaleNormal="87" workbookViewId="0"/>
  </sheetViews>
  <sheetFormatPr defaultColWidth="8.75" defaultRowHeight="12.75" x14ac:dyDescent="0.2"/>
  <cols>
    <col min="1" max="1" width="1.625" style="121" customWidth="1"/>
    <col min="2" max="2" width="30.625" style="122" customWidth="1"/>
    <col min="3" max="3" width="20.625" style="122" customWidth="1"/>
    <col min="4" max="4" width="1.625" style="122" customWidth="1"/>
    <col min="5" max="5" width="15.625" style="122" customWidth="1"/>
    <col min="6" max="6" width="1.625" style="121" customWidth="1"/>
    <col min="7" max="7" width="20.625" style="122" customWidth="1"/>
    <col min="8" max="9" width="10.625" style="122" customWidth="1"/>
    <col min="10" max="10" width="55.625" style="147" customWidth="1"/>
    <col min="11" max="16" width="8.75" style="122"/>
    <col min="17" max="18" width="8.75" style="121"/>
    <col min="19" max="19" width="37.25" style="121" customWidth="1"/>
    <col min="20" max="65" width="8.75" style="121"/>
    <col min="66" max="16384" width="8.75" style="122"/>
  </cols>
  <sheetData>
    <row r="1" spans="1:101" x14ac:dyDescent="0.2">
      <c r="B1" s="121"/>
      <c r="C1" s="121"/>
      <c r="D1" s="121"/>
      <c r="E1" s="121"/>
      <c r="G1" s="121"/>
      <c r="H1" s="121"/>
      <c r="I1" s="121"/>
      <c r="J1" s="146"/>
      <c r="K1" s="121"/>
      <c r="L1" s="121"/>
      <c r="M1" s="121"/>
      <c r="N1" s="121"/>
      <c r="O1" s="121"/>
      <c r="P1" s="121"/>
    </row>
    <row r="2" spans="1:101" ht="43.5" customHeight="1" x14ac:dyDescent="0.2">
      <c r="B2" s="442" t="s">
        <v>23</v>
      </c>
      <c r="C2" s="442"/>
      <c r="D2" s="442"/>
      <c r="E2" s="442"/>
      <c r="F2" s="442"/>
      <c r="G2" s="442"/>
      <c r="H2" s="442"/>
      <c r="I2" s="442"/>
      <c r="J2" s="146"/>
      <c r="K2" s="121"/>
      <c r="L2" s="121"/>
      <c r="M2" s="121"/>
      <c r="N2" s="121"/>
      <c r="O2" s="121"/>
      <c r="P2" s="121"/>
    </row>
    <row r="3" spans="1:101" x14ac:dyDescent="0.2">
      <c r="B3" s="121"/>
      <c r="C3" s="121"/>
      <c r="D3" s="121"/>
      <c r="E3" s="121"/>
      <c r="G3" s="121"/>
      <c r="H3" s="121"/>
      <c r="I3" s="121"/>
      <c r="J3" s="146"/>
      <c r="K3" s="121"/>
      <c r="L3" s="121"/>
      <c r="M3" s="121"/>
      <c r="N3" s="121"/>
      <c r="O3" s="121"/>
      <c r="P3" s="121"/>
    </row>
    <row r="4" spans="1:101" ht="18" x14ac:dyDescent="0.2">
      <c r="B4" s="443" t="s">
        <v>641</v>
      </c>
      <c r="C4" s="443"/>
      <c r="D4" s="443"/>
      <c r="E4" s="443"/>
      <c r="F4" s="443"/>
      <c r="G4" s="443"/>
      <c r="H4" s="443"/>
      <c r="I4" s="443"/>
      <c r="J4" s="443"/>
      <c r="K4" s="121"/>
      <c r="L4" s="121"/>
      <c r="M4" s="121"/>
      <c r="N4" s="121"/>
      <c r="O4" s="121"/>
      <c r="P4" s="121"/>
    </row>
    <row r="5" spans="1:101" s="121" customFormat="1" ht="15.75" thickBot="1" x14ac:dyDescent="0.25">
      <c r="A5" s="119"/>
      <c r="B5" s="21"/>
      <c r="C5" s="21"/>
      <c r="D5" s="21"/>
      <c r="E5" s="21"/>
      <c r="F5" s="21"/>
      <c r="G5" s="21"/>
      <c r="H5" s="21"/>
      <c r="I5" s="21"/>
      <c r="J5" s="21"/>
      <c r="K5" s="21"/>
      <c r="L5" s="21"/>
      <c r="M5" s="21"/>
      <c r="N5" s="119"/>
      <c r="O5" s="119"/>
      <c r="P5" s="119"/>
      <c r="Q5" s="119"/>
    </row>
    <row r="6" spans="1:101" ht="13.5" customHeight="1" x14ac:dyDescent="0.2">
      <c r="A6" s="119"/>
      <c r="B6" s="450" t="s">
        <v>24</v>
      </c>
      <c r="C6" s="451"/>
      <c r="D6" s="451"/>
      <c r="E6" s="451"/>
      <c r="F6" s="451"/>
      <c r="G6" s="451"/>
      <c r="H6" s="451"/>
      <c r="I6" s="451"/>
      <c r="J6" s="452"/>
      <c r="K6" s="153"/>
      <c r="L6" s="119"/>
      <c r="M6" s="119"/>
      <c r="N6" s="121"/>
      <c r="O6" s="121"/>
      <c r="P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row>
    <row r="7" spans="1:101" ht="13.5" customHeight="1" x14ac:dyDescent="0.2">
      <c r="A7" s="119"/>
      <c r="B7" s="164"/>
      <c r="C7" s="165"/>
      <c r="D7" s="165"/>
      <c r="E7" s="165"/>
      <c r="F7" s="165"/>
      <c r="G7" s="165"/>
      <c r="H7" s="165"/>
      <c r="I7" s="165"/>
      <c r="J7" s="166"/>
      <c r="K7" s="153"/>
      <c r="L7" s="119"/>
      <c r="M7" s="119"/>
      <c r="N7" s="121"/>
      <c r="O7" s="121"/>
      <c r="P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row>
    <row r="8" spans="1:101" ht="13.5" customHeight="1" x14ac:dyDescent="0.2">
      <c r="A8" s="119"/>
      <c r="B8" s="164" t="s">
        <v>391</v>
      </c>
      <c r="C8" s="165"/>
      <c r="D8" s="165"/>
      <c r="E8" s="165"/>
      <c r="F8" s="165"/>
      <c r="G8" s="165"/>
      <c r="H8" s="165"/>
      <c r="I8" s="165"/>
      <c r="J8" s="166"/>
      <c r="K8" s="153"/>
      <c r="L8" s="119"/>
      <c r="M8" s="119"/>
      <c r="N8" s="121"/>
      <c r="O8" s="121"/>
      <c r="P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row>
    <row r="9" spans="1:101" ht="13.5" customHeight="1" x14ac:dyDescent="0.2">
      <c r="A9" s="119"/>
      <c r="B9" s="464" t="s">
        <v>445</v>
      </c>
      <c r="C9" s="465"/>
      <c r="D9" s="465"/>
      <c r="E9" s="465"/>
      <c r="F9" s="465"/>
      <c r="G9" s="465"/>
      <c r="H9" s="465"/>
      <c r="I9" s="465"/>
      <c r="J9" s="466"/>
      <c r="K9" s="153"/>
      <c r="L9" s="119"/>
      <c r="M9" s="119"/>
      <c r="N9" s="121"/>
      <c r="O9" s="121"/>
      <c r="P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121"/>
      <c r="CO9" s="121"/>
      <c r="CP9" s="121"/>
      <c r="CQ9" s="121"/>
      <c r="CR9" s="121"/>
      <c r="CS9" s="121"/>
      <c r="CT9" s="121"/>
      <c r="CU9" s="121"/>
      <c r="CV9" s="121"/>
      <c r="CW9" s="121"/>
    </row>
    <row r="10" spans="1:101" ht="13.5" customHeight="1" x14ac:dyDescent="0.2">
      <c r="A10" s="119"/>
      <c r="B10" s="164"/>
      <c r="C10" s="165"/>
      <c r="D10" s="165"/>
      <c r="E10" s="165"/>
      <c r="F10" s="165"/>
      <c r="G10" s="165"/>
      <c r="H10" s="165"/>
      <c r="I10" s="165"/>
      <c r="J10" s="166"/>
      <c r="K10" s="153"/>
      <c r="L10" s="119"/>
      <c r="M10" s="119"/>
      <c r="N10" s="121"/>
      <c r="O10" s="121"/>
      <c r="P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1"/>
      <c r="CN10" s="121"/>
      <c r="CO10" s="121"/>
      <c r="CP10" s="121"/>
      <c r="CQ10" s="121"/>
      <c r="CR10" s="121"/>
      <c r="CS10" s="121"/>
      <c r="CT10" s="121"/>
      <c r="CU10" s="121"/>
      <c r="CV10" s="121"/>
      <c r="CW10" s="121"/>
    </row>
    <row r="11" spans="1:101" ht="13.5" customHeight="1" x14ac:dyDescent="0.2">
      <c r="A11" s="119"/>
      <c r="B11" s="164" t="s">
        <v>381</v>
      </c>
      <c r="C11" s="165"/>
      <c r="D11" s="165"/>
      <c r="E11" s="165"/>
      <c r="F11" s="165"/>
      <c r="G11" s="165"/>
      <c r="H11" s="165"/>
      <c r="I11" s="165"/>
      <c r="J11" s="166"/>
      <c r="K11" s="153"/>
      <c r="L11" s="119"/>
      <c r="M11" s="119"/>
      <c r="N11" s="121"/>
      <c r="O11" s="121"/>
      <c r="P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row>
    <row r="12" spans="1:101" ht="14.25" x14ac:dyDescent="0.2">
      <c r="A12" s="119"/>
      <c r="B12" s="481" t="s">
        <v>447</v>
      </c>
      <c r="C12" s="465"/>
      <c r="D12" s="465"/>
      <c r="E12" s="465"/>
      <c r="F12" s="465"/>
      <c r="G12" s="465"/>
      <c r="H12" s="465"/>
      <c r="I12" s="465"/>
      <c r="J12" s="466"/>
      <c r="K12" s="119"/>
      <c r="L12" s="119"/>
      <c r="M12" s="119"/>
      <c r="N12" s="121"/>
      <c r="O12" s="121"/>
      <c r="P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row>
    <row r="13" spans="1:101" ht="12.4" customHeight="1" thickBot="1" x14ac:dyDescent="0.25">
      <c r="A13" s="119"/>
      <c r="B13" s="92"/>
      <c r="C13" s="93"/>
      <c r="D13" s="93"/>
      <c r="E13" s="93"/>
      <c r="F13" s="93"/>
      <c r="G13" s="93"/>
      <c r="H13" s="93"/>
      <c r="I13" s="93"/>
      <c r="J13" s="95"/>
      <c r="K13" s="119"/>
      <c r="L13" s="119"/>
      <c r="M13" s="119"/>
      <c r="N13" s="121"/>
      <c r="O13" s="121"/>
      <c r="P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row>
    <row r="14" spans="1:101" s="151" customFormat="1" x14ac:dyDescent="0.2">
      <c r="A14" s="130"/>
      <c r="B14" s="155"/>
      <c r="C14" s="155"/>
      <c r="D14" s="155"/>
      <c r="E14" s="155"/>
      <c r="F14" s="155"/>
      <c r="G14" s="155"/>
      <c r="H14" s="155"/>
      <c r="I14" s="156"/>
      <c r="J14" s="130"/>
      <c r="K14" s="130"/>
      <c r="L14" s="130"/>
      <c r="M14" s="130"/>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row>
    <row r="15" spans="1:101" s="127" customFormat="1" ht="14.25" x14ac:dyDescent="0.2">
      <c r="A15" s="123"/>
      <c r="B15" s="124" t="s">
        <v>19</v>
      </c>
      <c r="C15" s="125"/>
      <c r="D15" s="125"/>
      <c r="E15" s="125"/>
      <c r="F15" s="125"/>
      <c r="G15" s="123"/>
      <c r="H15" s="123"/>
      <c r="I15" s="123"/>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row>
    <row r="16" spans="1:101" s="121" customFormat="1" ht="30" customHeight="1" x14ac:dyDescent="0.2">
      <c r="B16" s="429" t="s">
        <v>423</v>
      </c>
      <c r="C16" s="430"/>
      <c r="D16" s="430"/>
      <c r="E16" s="430"/>
      <c r="F16" s="430"/>
      <c r="G16" s="430"/>
      <c r="H16" s="430"/>
      <c r="I16" s="430"/>
      <c r="J16" s="430"/>
    </row>
    <row r="17" spans="2:10" s="121" customFormat="1" ht="3" customHeight="1" x14ac:dyDescent="0.2">
      <c r="B17" s="246"/>
      <c r="C17" s="246"/>
      <c r="D17" s="246"/>
      <c r="E17" s="246"/>
      <c r="F17" s="246"/>
      <c r="G17" s="246"/>
      <c r="H17" s="246"/>
      <c r="I17" s="246"/>
      <c r="J17" s="246"/>
    </row>
    <row r="18" spans="2:10" s="121" customFormat="1" ht="14.25" x14ac:dyDescent="0.2">
      <c r="B18" s="429" t="s">
        <v>427</v>
      </c>
      <c r="C18" s="430"/>
      <c r="D18" s="430"/>
      <c r="E18" s="430"/>
      <c r="F18" s="430"/>
      <c r="G18" s="430"/>
      <c r="H18" s="430"/>
      <c r="I18" s="430"/>
      <c r="J18" s="430"/>
    </row>
    <row r="19" spans="2:10" s="121" customFormat="1" ht="14.25" x14ac:dyDescent="0.2">
      <c r="B19" s="245"/>
      <c r="C19" s="246"/>
      <c r="D19" s="246"/>
      <c r="E19" s="246"/>
      <c r="F19" s="246"/>
      <c r="G19" s="246"/>
      <c r="H19" s="246"/>
      <c r="I19" s="246"/>
      <c r="J19" s="246"/>
    </row>
    <row r="20" spans="2:10" s="121" customFormat="1" ht="14.25" x14ac:dyDescent="0.2">
      <c r="B20" s="435" t="s">
        <v>391</v>
      </c>
      <c r="C20" s="435"/>
      <c r="D20" s="435"/>
      <c r="E20" s="435"/>
      <c r="F20" s="435"/>
      <c r="G20" s="435"/>
      <c r="H20" s="435"/>
      <c r="I20" s="435"/>
      <c r="J20" s="435"/>
    </row>
    <row r="21" spans="2:10" s="121" customFormat="1" ht="14.25" x14ac:dyDescent="0.2">
      <c r="B21" s="246"/>
      <c r="C21" s="246"/>
      <c r="D21" s="246"/>
      <c r="E21" s="246"/>
      <c r="F21" s="246"/>
      <c r="G21" s="246"/>
      <c r="H21" s="246"/>
      <c r="I21" s="246"/>
      <c r="J21" s="246"/>
    </row>
    <row r="22" spans="2:10" s="121" customFormat="1" ht="18" x14ac:dyDescent="0.2">
      <c r="B22" s="437" t="s">
        <v>445</v>
      </c>
      <c r="C22" s="437"/>
      <c r="D22" s="437"/>
      <c r="E22" s="437"/>
      <c r="F22" s="437"/>
      <c r="G22" s="437"/>
      <c r="H22" s="437"/>
      <c r="I22" s="437"/>
      <c r="J22" s="437"/>
    </row>
    <row r="23" spans="2:10" s="121" customFormat="1" ht="3" customHeight="1" x14ac:dyDescent="0.2">
      <c r="B23" s="246"/>
      <c r="C23" s="246"/>
      <c r="D23" s="246"/>
      <c r="E23" s="246"/>
      <c r="F23" s="246"/>
      <c r="G23" s="246"/>
      <c r="H23" s="246"/>
      <c r="I23" s="246"/>
      <c r="J23" s="246"/>
    </row>
    <row r="24" spans="2:10" s="121" customFormat="1" ht="14.25" x14ac:dyDescent="0.2">
      <c r="B24" s="129" t="s">
        <v>8</v>
      </c>
      <c r="C24" s="246"/>
      <c r="D24" s="246"/>
      <c r="E24" s="246"/>
      <c r="F24" s="246"/>
      <c r="G24" s="246"/>
      <c r="H24" s="246"/>
      <c r="I24" s="246"/>
      <c r="J24" s="246"/>
    </row>
    <row r="25" spans="2:10" s="121" customFormat="1" ht="14.25" customHeight="1" x14ac:dyDescent="0.2">
      <c r="B25" s="434" t="s">
        <v>148</v>
      </c>
      <c r="C25" s="434"/>
      <c r="D25" s="434"/>
      <c r="E25" s="434"/>
      <c r="F25" s="434"/>
      <c r="G25" s="434"/>
      <c r="H25" s="434"/>
      <c r="I25" s="434"/>
      <c r="J25" s="434"/>
    </row>
    <row r="26" spans="2:10" s="121" customFormat="1" x14ac:dyDescent="0.2">
      <c r="B26" s="434" t="s">
        <v>471</v>
      </c>
      <c r="C26" s="434"/>
      <c r="D26" s="434"/>
      <c r="E26" s="434"/>
      <c r="F26" s="434"/>
      <c r="G26" s="434"/>
      <c r="H26" s="434"/>
      <c r="I26" s="434"/>
      <c r="J26" s="434"/>
    </row>
    <row r="27" spans="2:10" s="121" customFormat="1" x14ac:dyDescent="0.2">
      <c r="B27" s="434" t="s">
        <v>725</v>
      </c>
      <c r="C27" s="434"/>
      <c r="D27" s="434"/>
      <c r="E27" s="434"/>
      <c r="F27" s="434"/>
      <c r="G27" s="434"/>
      <c r="H27" s="434"/>
      <c r="I27" s="434"/>
      <c r="J27" s="434"/>
    </row>
    <row r="28" spans="2:10" s="121" customFormat="1" x14ac:dyDescent="0.2">
      <c r="B28" s="434" t="s">
        <v>438</v>
      </c>
      <c r="C28" s="434"/>
      <c r="D28" s="434"/>
      <c r="E28" s="434"/>
      <c r="F28" s="434"/>
      <c r="G28" s="434"/>
      <c r="H28" s="434"/>
      <c r="I28" s="434"/>
      <c r="J28" s="434"/>
    </row>
    <row r="29" spans="2:10" s="121" customFormat="1" ht="14.25" customHeight="1" x14ac:dyDescent="0.2">
      <c r="B29" s="434" t="s">
        <v>552</v>
      </c>
      <c r="C29" s="434"/>
      <c r="D29" s="434"/>
      <c r="E29" s="434"/>
      <c r="F29" s="434"/>
      <c r="G29" s="434"/>
      <c r="H29" s="434"/>
      <c r="I29" s="434"/>
      <c r="J29" s="434"/>
    </row>
    <row r="30" spans="2:10" s="121" customFormat="1" x14ac:dyDescent="0.2">
      <c r="B30" s="434" t="s">
        <v>436</v>
      </c>
      <c r="C30" s="434"/>
      <c r="D30" s="434"/>
      <c r="E30" s="434"/>
      <c r="F30" s="434"/>
      <c r="G30" s="434"/>
      <c r="H30" s="434"/>
      <c r="I30" s="434"/>
      <c r="J30" s="434"/>
    </row>
    <row r="31" spans="2:10" s="121" customFormat="1" ht="3" customHeight="1" x14ac:dyDescent="0.2">
      <c r="B31" s="246"/>
      <c r="C31" s="246"/>
      <c r="D31" s="246"/>
      <c r="E31" s="246"/>
      <c r="F31" s="246"/>
      <c r="G31" s="246"/>
      <c r="H31" s="246"/>
      <c r="I31" s="246"/>
      <c r="J31" s="246"/>
    </row>
    <row r="32" spans="2:10" s="121" customFormat="1" ht="15" x14ac:dyDescent="0.2">
      <c r="B32" s="131" t="s">
        <v>0</v>
      </c>
      <c r="C32" s="132"/>
      <c r="D32" s="132"/>
      <c r="E32" s="132"/>
      <c r="F32" s="132"/>
      <c r="G32" s="132"/>
      <c r="H32" s="132"/>
      <c r="I32" s="132"/>
      <c r="J32" s="133"/>
    </row>
    <row r="33" spans="2:10" s="121" customFormat="1" ht="3" customHeight="1" x14ac:dyDescent="0.2">
      <c r="B33" s="134"/>
      <c r="C33" s="134"/>
      <c r="D33" s="134"/>
      <c r="E33" s="134"/>
      <c r="F33" s="134"/>
      <c r="G33" s="134"/>
      <c r="H33" s="134"/>
      <c r="I33" s="134"/>
      <c r="J33" s="243"/>
    </row>
    <row r="34" spans="2:10" s="121" customFormat="1" ht="15" x14ac:dyDescent="0.2">
      <c r="B34" s="136" t="s">
        <v>2</v>
      </c>
      <c r="C34" s="136"/>
      <c r="D34" s="136"/>
      <c r="E34" s="137" t="s">
        <v>4</v>
      </c>
      <c r="F34" s="138"/>
      <c r="G34" s="138" t="s">
        <v>6</v>
      </c>
      <c r="H34" s="138" t="s">
        <v>3</v>
      </c>
      <c r="I34" s="138" t="s">
        <v>9</v>
      </c>
      <c r="J34" s="137" t="s">
        <v>15</v>
      </c>
    </row>
    <row r="35" spans="2:10" s="121" customFormat="1" ht="3" customHeight="1" x14ac:dyDescent="0.2">
      <c r="B35" s="134"/>
      <c r="C35" s="134"/>
      <c r="D35" s="134"/>
      <c r="E35" s="134"/>
      <c r="F35" s="134"/>
      <c r="G35" s="134"/>
      <c r="H35" s="134"/>
      <c r="I35" s="134"/>
      <c r="J35" s="243"/>
    </row>
    <row r="36" spans="2:10" s="121" customFormat="1" ht="15" x14ac:dyDescent="0.2">
      <c r="B36" s="134" t="s">
        <v>30</v>
      </c>
      <c r="C36" s="134"/>
      <c r="D36" s="134"/>
      <c r="E36" s="243" t="s">
        <v>31</v>
      </c>
      <c r="F36" s="134"/>
      <c r="G36" s="141"/>
      <c r="H36" s="139" t="s">
        <v>134</v>
      </c>
      <c r="I36" s="139" t="s">
        <v>18</v>
      </c>
      <c r="J36" s="243"/>
    </row>
    <row r="37" spans="2:10" s="121" customFormat="1" ht="3" customHeight="1" x14ac:dyDescent="0.2">
      <c r="B37" s="134"/>
      <c r="C37" s="134"/>
      <c r="D37" s="134"/>
      <c r="E37" s="243"/>
      <c r="F37" s="134"/>
      <c r="G37" s="139"/>
      <c r="H37" s="139"/>
      <c r="I37" s="139"/>
      <c r="J37" s="243"/>
    </row>
    <row r="38" spans="2:10" s="121" customFormat="1" x14ac:dyDescent="0.2">
      <c r="B38" s="134" t="s">
        <v>32</v>
      </c>
      <c r="C38" s="134"/>
      <c r="D38" s="134"/>
      <c r="E38" s="249" t="s">
        <v>33</v>
      </c>
      <c r="F38" s="134"/>
      <c r="G38" s="139">
        <v>0.1</v>
      </c>
      <c r="H38" s="139" t="s">
        <v>5</v>
      </c>
      <c r="I38" s="148" t="str">
        <f>IF(Freg_formulation=0.1, "D", "S")</f>
        <v>D</v>
      </c>
      <c r="J38" s="243"/>
    </row>
    <row r="39" spans="2:10" s="121" customFormat="1" ht="3" customHeight="1" x14ac:dyDescent="0.2">
      <c r="B39" s="134"/>
      <c r="C39" s="134"/>
      <c r="D39" s="134"/>
      <c r="E39" s="249"/>
      <c r="F39" s="134"/>
      <c r="G39" s="139"/>
      <c r="H39" s="139"/>
      <c r="I39" s="139"/>
      <c r="J39" s="243"/>
    </row>
    <row r="40" spans="2:10" s="121" customFormat="1" ht="15" x14ac:dyDescent="0.2">
      <c r="B40" s="134" t="s">
        <v>139</v>
      </c>
      <c r="C40" s="134"/>
      <c r="D40" s="134"/>
      <c r="E40" s="249" t="s">
        <v>140</v>
      </c>
      <c r="F40" s="134"/>
      <c r="G40" s="227" t="str">
        <f>IF(ISNUMBER(TONNAGEformulation), TONNAGEformulation*Freg_formulation,"??")</f>
        <v>??</v>
      </c>
      <c r="H40" s="139" t="s">
        <v>134</v>
      </c>
      <c r="I40" s="139" t="s">
        <v>7</v>
      </c>
      <c r="J40" s="243" t="s">
        <v>357</v>
      </c>
    </row>
    <row r="41" spans="2:10" s="121" customFormat="1" ht="3" customHeight="1" x14ac:dyDescent="0.2">
      <c r="B41" s="134"/>
      <c r="C41" s="134"/>
      <c r="D41" s="134"/>
      <c r="E41" s="243"/>
      <c r="F41" s="134"/>
      <c r="G41" s="139"/>
      <c r="H41" s="139"/>
      <c r="I41" s="139"/>
      <c r="J41" s="243"/>
    </row>
    <row r="42" spans="2:10" s="121" customFormat="1" ht="27.75" customHeight="1" x14ac:dyDescent="0.2">
      <c r="B42" s="431" t="s">
        <v>359</v>
      </c>
      <c r="C42" s="431"/>
      <c r="D42" s="134"/>
      <c r="E42" s="243" t="s">
        <v>358</v>
      </c>
      <c r="F42" s="134"/>
      <c r="G42" s="141"/>
      <c r="H42" s="139" t="s">
        <v>5</v>
      </c>
      <c r="I42" s="139" t="s">
        <v>18</v>
      </c>
      <c r="J42" s="353" t="s">
        <v>573</v>
      </c>
    </row>
    <row r="43" spans="2:10" s="121" customFormat="1" ht="3" customHeight="1" x14ac:dyDescent="0.2">
      <c r="B43" s="134"/>
      <c r="C43" s="134"/>
      <c r="D43" s="134"/>
      <c r="E43" s="243"/>
      <c r="F43" s="134"/>
      <c r="G43" s="139"/>
      <c r="H43" s="139"/>
      <c r="I43" s="139"/>
      <c r="J43" s="243"/>
    </row>
    <row r="44" spans="2:10" s="121" customFormat="1" ht="25.5" x14ac:dyDescent="0.2">
      <c r="B44" s="134" t="s">
        <v>360</v>
      </c>
      <c r="C44" s="134"/>
      <c r="D44" s="134"/>
      <c r="E44" s="243" t="s">
        <v>361</v>
      </c>
      <c r="F44" s="134"/>
      <c r="G44" s="227" t="str">
        <f>IF(AND(ISNUMBER(TONNAGEreg_formulation), ISNUMBER(Fchem_form_formulation)),TONNAGEreg_formulation/Fchem_form_formulation,"??")</f>
        <v>??</v>
      </c>
      <c r="H44" s="139" t="s">
        <v>134</v>
      </c>
      <c r="I44" s="139" t="s">
        <v>7</v>
      </c>
      <c r="J44" s="248" t="s">
        <v>567</v>
      </c>
    </row>
    <row r="45" spans="2:10" s="121" customFormat="1" ht="3" customHeight="1" thickBot="1" x14ac:dyDescent="0.25">
      <c r="B45" s="134"/>
      <c r="C45" s="134"/>
      <c r="D45" s="134"/>
      <c r="E45" s="243"/>
      <c r="F45" s="134"/>
      <c r="G45" s="139"/>
      <c r="H45" s="139"/>
      <c r="I45" s="139"/>
      <c r="J45" s="248"/>
    </row>
    <row r="46" spans="2:10" s="121" customFormat="1" ht="24.75" customHeight="1" thickTop="1" thickBot="1" x14ac:dyDescent="0.25">
      <c r="B46" s="431" t="s">
        <v>830</v>
      </c>
      <c r="C46" s="431"/>
      <c r="D46" s="134"/>
      <c r="E46" s="444" t="s">
        <v>380</v>
      </c>
      <c r="F46" s="444"/>
      <c r="G46" s="444"/>
      <c r="H46" s="134"/>
      <c r="I46" s="134"/>
      <c r="J46" s="248"/>
    </row>
    <row r="47" spans="2:10" s="121" customFormat="1" ht="3" customHeight="1" thickTop="1" x14ac:dyDescent="0.2">
      <c r="B47" s="243"/>
      <c r="C47" s="248"/>
      <c r="D47" s="134"/>
      <c r="E47" s="243"/>
      <c r="F47" s="134"/>
      <c r="G47" s="139"/>
      <c r="H47" s="139"/>
      <c r="I47" s="139"/>
      <c r="J47" s="248"/>
    </row>
    <row r="48" spans="2:10" s="121" customFormat="1" x14ac:dyDescent="0.2">
      <c r="B48" s="134" t="s">
        <v>377</v>
      </c>
      <c r="C48" s="134"/>
      <c r="D48" s="134"/>
      <c r="E48" s="243" t="s">
        <v>165</v>
      </c>
      <c r="F48" s="134"/>
      <c r="G48" s="36" t="str">
        <f>INDEX('Pick-lists &amp; Defaults'!C146:C151,MATCH(Select_tonnage_range,tonnage_range_textile,0))</f>
        <v>??</v>
      </c>
      <c r="H48" s="139" t="s">
        <v>5</v>
      </c>
      <c r="I48" s="139" t="s">
        <v>237</v>
      </c>
      <c r="J48" s="243" t="s">
        <v>617</v>
      </c>
    </row>
    <row r="49" spans="2:10" s="121" customFormat="1" ht="3" customHeight="1" x14ac:dyDescent="0.2">
      <c r="B49" s="134"/>
      <c r="C49" s="134"/>
      <c r="D49" s="134"/>
      <c r="E49" s="243"/>
      <c r="F49" s="134"/>
      <c r="G49" s="139"/>
      <c r="H49" s="139"/>
      <c r="I49" s="139"/>
      <c r="J49" s="243"/>
    </row>
    <row r="50" spans="2:10" s="121" customFormat="1" x14ac:dyDescent="0.2">
      <c r="B50" s="134" t="s">
        <v>164</v>
      </c>
      <c r="C50" s="134"/>
      <c r="D50" s="134"/>
      <c r="E50" s="243" t="s">
        <v>378</v>
      </c>
      <c r="F50" s="134"/>
      <c r="G50" s="274" t="str">
        <f>INDEX('Pick-lists &amp; Defaults'!D146:D151,MATCH(Select_tonnage_range,tonnage_range_textile,0))</f>
        <v>??</v>
      </c>
      <c r="H50" s="139" t="s">
        <v>20</v>
      </c>
      <c r="I50" s="148" t="s">
        <v>237</v>
      </c>
      <c r="J50" s="243" t="s">
        <v>617</v>
      </c>
    </row>
    <row r="51" spans="2:10" s="121" customFormat="1" ht="3" customHeight="1" x14ac:dyDescent="0.2">
      <c r="B51" s="134"/>
      <c r="C51" s="134"/>
      <c r="D51" s="134"/>
      <c r="E51" s="243"/>
      <c r="F51" s="134"/>
      <c r="G51" s="139"/>
      <c r="H51" s="139"/>
      <c r="I51" s="139"/>
      <c r="J51" s="243"/>
    </row>
    <row r="52" spans="2:10" s="121" customFormat="1" x14ac:dyDescent="0.2">
      <c r="B52" s="248" t="s">
        <v>379</v>
      </c>
      <c r="C52" s="134"/>
      <c r="D52" s="134"/>
      <c r="E52" s="243" t="s">
        <v>97</v>
      </c>
      <c r="F52" s="134"/>
      <c r="G52" s="274" t="str">
        <f>IF(ISNUMBER(TONNAGEregform_formulation),IF(TONNAGEregform_formulation&lt;1000,'Pick-lists &amp; Defaults'!C15,'Pick-lists &amp; Defaults'!C16),"??")</f>
        <v>??</v>
      </c>
      <c r="H52" s="139" t="s">
        <v>5</v>
      </c>
      <c r="I52" s="139" t="s">
        <v>237</v>
      </c>
      <c r="J52" s="248" t="s">
        <v>570</v>
      </c>
    </row>
    <row r="53" spans="2:10" s="121" customFormat="1" ht="3" customHeight="1" thickBot="1" x14ac:dyDescent="0.25">
      <c r="B53" s="248"/>
      <c r="C53" s="134"/>
      <c r="D53" s="134"/>
      <c r="E53" s="243"/>
      <c r="F53" s="134"/>
      <c r="G53" s="243"/>
      <c r="H53" s="139"/>
      <c r="I53" s="139"/>
      <c r="J53" s="248"/>
    </row>
    <row r="54" spans="2:10" s="121" customFormat="1" ht="17.25" thickTop="1" thickBot="1" x14ac:dyDescent="0.25">
      <c r="B54" s="248" t="s">
        <v>400</v>
      </c>
      <c r="C54" s="67" t="s">
        <v>348</v>
      </c>
      <c r="D54" s="134"/>
      <c r="E54" s="243" t="s">
        <v>401</v>
      </c>
      <c r="F54" s="134"/>
      <c r="G54" s="36" t="str">
        <f>INDEX('Pick-lists &amp; Defaults'!C7:C11,MATCH(C54,vapour_pressure,0))</f>
        <v>??</v>
      </c>
      <c r="H54" s="139" t="s">
        <v>5</v>
      </c>
      <c r="I54" s="139" t="s">
        <v>237</v>
      </c>
      <c r="J54" s="248" t="s">
        <v>570</v>
      </c>
    </row>
    <row r="55" spans="2:10" s="121" customFormat="1" ht="3" customHeight="1" thickTop="1" x14ac:dyDescent="0.2">
      <c r="B55" s="248"/>
      <c r="C55" s="134"/>
      <c r="D55" s="134"/>
      <c r="E55" s="243"/>
      <c r="F55" s="134"/>
      <c r="G55" s="243"/>
      <c r="H55" s="139"/>
      <c r="I55" s="139"/>
      <c r="J55" s="248"/>
    </row>
    <row r="56" spans="2:10" s="121" customFormat="1" x14ac:dyDescent="0.2">
      <c r="B56" s="248" t="s">
        <v>402</v>
      </c>
      <c r="C56" s="134"/>
      <c r="D56" s="134"/>
      <c r="E56" s="243" t="s">
        <v>403</v>
      </c>
      <c r="F56" s="134"/>
      <c r="G56" s="139">
        <v>1E-4</v>
      </c>
      <c r="H56" s="139" t="s">
        <v>5</v>
      </c>
      <c r="I56" s="148" t="str">
        <f>IF(Fsoil_formulation=0.0001, "D", "S")</f>
        <v>D</v>
      </c>
      <c r="J56" s="248" t="s">
        <v>571</v>
      </c>
    </row>
    <row r="57" spans="2:10" s="121" customFormat="1" ht="3" customHeight="1" x14ac:dyDescent="0.2">
      <c r="B57" s="314"/>
      <c r="C57" s="134"/>
      <c r="D57" s="134"/>
      <c r="E57" s="312"/>
      <c r="F57" s="134"/>
      <c r="G57" s="134"/>
      <c r="H57" s="139"/>
      <c r="I57" s="139"/>
      <c r="J57" s="312"/>
    </row>
    <row r="58" spans="2:10" s="121" customFormat="1" ht="15" customHeight="1" x14ac:dyDescent="0.2">
      <c r="B58" s="427" t="s">
        <v>404</v>
      </c>
      <c r="C58" s="467"/>
      <c r="D58" s="134"/>
      <c r="E58" s="312" t="s">
        <v>385</v>
      </c>
      <c r="F58" s="134"/>
      <c r="G58" s="141"/>
      <c r="H58" s="139" t="s">
        <v>5</v>
      </c>
      <c r="I58" s="139" t="s">
        <v>18</v>
      </c>
      <c r="J58" s="312"/>
    </row>
    <row r="59" spans="2:10" s="121" customFormat="1" ht="3" customHeight="1" x14ac:dyDescent="0.2">
      <c r="B59" s="427"/>
      <c r="C59" s="467"/>
      <c r="D59" s="134"/>
      <c r="E59" s="312"/>
      <c r="F59" s="134"/>
      <c r="G59" s="134"/>
      <c r="H59" s="139"/>
      <c r="I59" s="139"/>
      <c r="J59" s="312"/>
    </row>
    <row r="60" spans="2:10" s="121" customFormat="1" ht="15" customHeight="1" x14ac:dyDescent="0.2">
      <c r="B60" s="427"/>
      <c r="C60" s="467"/>
      <c r="D60" s="134"/>
      <c r="E60" s="312" t="s">
        <v>405</v>
      </c>
      <c r="F60" s="134"/>
      <c r="G60" s="141"/>
      <c r="H60" s="139" t="s">
        <v>5</v>
      </c>
      <c r="I60" s="139" t="s">
        <v>18</v>
      </c>
      <c r="J60" s="312"/>
    </row>
    <row r="61" spans="2:10" s="121" customFormat="1" ht="3" customHeight="1" x14ac:dyDescent="0.2">
      <c r="B61" s="427"/>
      <c r="C61" s="467"/>
      <c r="D61" s="134"/>
      <c r="E61" s="312"/>
      <c r="F61" s="134"/>
      <c r="G61" s="134"/>
      <c r="H61" s="139"/>
      <c r="I61" s="139"/>
      <c r="J61" s="312"/>
    </row>
    <row r="62" spans="2:10" s="121" customFormat="1" ht="15" customHeight="1" x14ac:dyDescent="0.2">
      <c r="B62" s="427"/>
      <c r="C62" s="467"/>
      <c r="D62" s="134"/>
      <c r="E62" s="312" t="s">
        <v>406</v>
      </c>
      <c r="F62" s="134"/>
      <c r="G62" s="141"/>
      <c r="H62" s="139" t="s">
        <v>5</v>
      </c>
      <c r="I62" s="139" t="s">
        <v>18</v>
      </c>
      <c r="J62" s="312"/>
    </row>
    <row r="63" spans="2:10" s="121" customFormat="1" x14ac:dyDescent="0.2">
      <c r="B63" s="134"/>
      <c r="C63" s="134"/>
      <c r="D63" s="134"/>
      <c r="E63" s="134"/>
      <c r="F63" s="134"/>
      <c r="G63" s="134"/>
      <c r="H63" s="134"/>
      <c r="I63" s="134"/>
      <c r="J63" s="312"/>
    </row>
    <row r="64" spans="2:10" s="121" customFormat="1" ht="15" x14ac:dyDescent="0.2">
      <c r="B64" s="131" t="s">
        <v>1</v>
      </c>
      <c r="C64" s="132"/>
      <c r="D64" s="132"/>
      <c r="E64" s="132"/>
      <c r="F64" s="132"/>
      <c r="G64" s="132"/>
      <c r="H64" s="132"/>
      <c r="I64" s="132"/>
      <c r="J64" s="133"/>
    </row>
    <row r="65" spans="2:10" s="121" customFormat="1" ht="3" customHeight="1" x14ac:dyDescent="0.2">
      <c r="B65" s="134"/>
      <c r="C65" s="134"/>
      <c r="D65" s="134"/>
      <c r="E65" s="134"/>
      <c r="F65" s="134"/>
      <c r="G65" s="134"/>
      <c r="H65" s="134"/>
      <c r="I65" s="134"/>
      <c r="J65" s="243"/>
    </row>
    <row r="66" spans="2:10" s="121" customFormat="1" ht="15" x14ac:dyDescent="0.2">
      <c r="B66" s="136" t="s">
        <v>2</v>
      </c>
      <c r="C66" s="136"/>
      <c r="D66" s="136"/>
      <c r="E66" s="137" t="s">
        <v>4</v>
      </c>
      <c r="F66" s="138"/>
      <c r="G66" s="138" t="s">
        <v>6</v>
      </c>
      <c r="H66" s="138" t="s">
        <v>3</v>
      </c>
      <c r="I66" s="138" t="s">
        <v>9</v>
      </c>
      <c r="J66" s="137" t="s">
        <v>15</v>
      </c>
    </row>
    <row r="67" spans="2:10" s="121" customFormat="1" ht="3" customHeight="1" x14ac:dyDescent="0.2">
      <c r="B67" s="136"/>
      <c r="C67" s="136"/>
      <c r="D67" s="136"/>
      <c r="E67" s="137"/>
      <c r="F67" s="138"/>
      <c r="G67" s="138"/>
      <c r="H67" s="138"/>
      <c r="I67" s="138"/>
      <c r="J67" s="137"/>
    </row>
    <row r="68" spans="2:10" s="121" customFormat="1" ht="15" customHeight="1" x14ac:dyDescent="0.2">
      <c r="B68" s="161" t="s">
        <v>57</v>
      </c>
      <c r="C68" s="86"/>
      <c r="D68" s="134"/>
      <c r="E68" s="134" t="s">
        <v>44</v>
      </c>
      <c r="F68" s="134"/>
      <c r="G68" s="149" t="str">
        <f>IF(AND(ISNUMBER(TONNAGEreg_formulation),ISNUMBER(Fmainsource_formulation),ISNUMBER(Fwater_formulation),ISNUMBER(Temission_formulation)),TONNAGEreg_formulation*1000*Fmainsource_formulation*Fwater_formulation/Temission_formulation,"??")</f>
        <v>??</v>
      </c>
      <c r="H68" s="139" t="s">
        <v>16</v>
      </c>
      <c r="I68" s="139" t="s">
        <v>7</v>
      </c>
      <c r="J68" s="244" t="s">
        <v>411</v>
      </c>
    </row>
    <row r="69" spans="2:10" s="121" customFormat="1" ht="3" customHeight="1" x14ac:dyDescent="0.2">
      <c r="B69" s="161"/>
      <c r="C69" s="86"/>
      <c r="D69" s="134"/>
      <c r="E69" s="134"/>
      <c r="F69" s="134"/>
      <c r="G69" s="134"/>
      <c r="H69" s="139"/>
      <c r="I69" s="139"/>
      <c r="J69" s="244"/>
    </row>
    <row r="70" spans="2:10" s="121" customFormat="1" ht="15" x14ac:dyDescent="0.2">
      <c r="B70" s="161" t="s">
        <v>408</v>
      </c>
      <c r="C70" s="86"/>
      <c r="D70" s="134"/>
      <c r="E70" s="134" t="s">
        <v>296</v>
      </c>
      <c r="F70" s="134"/>
      <c r="G70" s="149" t="str">
        <f>IF(AND(ISNUMBER(TONNAGEreg_formulation),ISNUMBER(Fmainsource_formulation),ISNUMBER(Fair_formulation),ISNUMBER(Temission_formulation)),TONNAGEreg_formulation*1000*Fmainsource_formulation*Fair_formulation/Temission_formulation,"??")</f>
        <v>??</v>
      </c>
      <c r="H70" s="139" t="s">
        <v>16</v>
      </c>
      <c r="I70" s="139" t="s">
        <v>7</v>
      </c>
      <c r="J70" s="244" t="s">
        <v>412</v>
      </c>
    </row>
    <row r="71" spans="2:10" s="121" customFormat="1" ht="3" customHeight="1" x14ac:dyDescent="0.2">
      <c r="B71" s="161"/>
      <c r="C71" s="86"/>
      <c r="D71" s="134"/>
      <c r="E71" s="134"/>
      <c r="F71" s="134"/>
      <c r="G71" s="134"/>
      <c r="H71" s="139"/>
      <c r="I71" s="139"/>
      <c r="J71" s="244"/>
    </row>
    <row r="72" spans="2:10" s="121" customFormat="1" ht="15" x14ac:dyDescent="0.2">
      <c r="B72" s="161" t="s">
        <v>409</v>
      </c>
      <c r="C72" s="86"/>
      <c r="D72" s="134"/>
      <c r="E72" s="134" t="s">
        <v>410</v>
      </c>
      <c r="F72" s="134"/>
      <c r="G72" s="149" t="str">
        <f>IF(AND(ISNUMBER(TONNAGEreg_formulation),ISNUMBER(Fmainsource_formulation),ISNUMBER(Temission_formulation)),TONNAGEreg_formulation*1000*Fmainsource_formulation*Fsoil_formulation/Temission_formulation,"??")</f>
        <v>??</v>
      </c>
      <c r="H72" s="139" t="s">
        <v>16</v>
      </c>
      <c r="I72" s="139" t="s">
        <v>7</v>
      </c>
      <c r="J72" s="244" t="s">
        <v>413</v>
      </c>
    </row>
    <row r="73" spans="2:10" s="121" customFormat="1" ht="3" customHeight="1" x14ac:dyDescent="0.2">
      <c r="B73" s="161"/>
      <c r="C73" s="86"/>
      <c r="D73" s="134"/>
      <c r="E73" s="134"/>
      <c r="F73" s="134"/>
      <c r="G73" s="134"/>
      <c r="H73" s="139"/>
      <c r="I73" s="139"/>
      <c r="J73" s="313"/>
    </row>
    <row r="74" spans="2:10" s="121" customFormat="1" x14ac:dyDescent="0.2">
      <c r="B74" s="162" t="s">
        <v>407</v>
      </c>
      <c r="C74" s="86"/>
      <c r="D74" s="134"/>
      <c r="E74" s="134"/>
      <c r="F74" s="134"/>
      <c r="G74" s="134"/>
      <c r="H74" s="139"/>
      <c r="I74" s="139"/>
      <c r="J74" s="313"/>
    </row>
    <row r="75" spans="2:10" s="121" customFormat="1" ht="15" customHeight="1" x14ac:dyDescent="0.2">
      <c r="B75" s="161" t="s">
        <v>386</v>
      </c>
      <c r="C75" s="86"/>
      <c r="D75" s="134"/>
      <c r="E75" s="134" t="s">
        <v>387</v>
      </c>
      <c r="F75" s="134"/>
      <c r="G75" s="149" t="str">
        <f>IF(AND(ISNUMBER(TONNAGEreg_formulation),ISNUMBER(Fmainsource_formulation),ISNUMBER(Fwater_ref)),TONNAGEreg_formulation*1000*Fmainsource_formulation*Fwater_ref/Temission_formulation,"??")</f>
        <v>??</v>
      </c>
      <c r="H75" s="139" t="s">
        <v>16</v>
      </c>
      <c r="I75" s="139" t="s">
        <v>7</v>
      </c>
      <c r="J75" s="313" t="s">
        <v>546</v>
      </c>
    </row>
    <row r="76" spans="2:10" s="121" customFormat="1" ht="3" customHeight="1" x14ac:dyDescent="0.2">
      <c r="B76" s="161"/>
      <c r="C76" s="86"/>
      <c r="D76" s="134"/>
      <c r="E76" s="134"/>
      <c r="F76" s="134"/>
      <c r="G76" s="134"/>
      <c r="H76" s="139"/>
      <c r="I76" s="139"/>
      <c r="J76" s="313"/>
    </row>
    <row r="77" spans="2:10" s="121" customFormat="1" ht="15" customHeight="1" x14ac:dyDescent="0.2">
      <c r="B77" s="161" t="s">
        <v>414</v>
      </c>
      <c r="C77" s="86"/>
      <c r="D77" s="134"/>
      <c r="E77" s="134" t="s">
        <v>416</v>
      </c>
      <c r="F77" s="134"/>
      <c r="G77" s="149" t="str">
        <f>IF(AND(ISNUMBER(TONNAGEreg_formulation),ISNUMBER(Fmainsource_formulation),ISNUMBER(Fair_ref)),TONNAGEreg_formulation*1000*Fmainsource_formulation*Fair_ref/Temission_formulation,"??")</f>
        <v>??</v>
      </c>
      <c r="H77" s="139" t="s">
        <v>16</v>
      </c>
      <c r="I77" s="139" t="s">
        <v>7</v>
      </c>
      <c r="J77" s="313" t="s">
        <v>547</v>
      </c>
    </row>
    <row r="78" spans="2:10" s="121" customFormat="1" ht="3" customHeight="1" x14ac:dyDescent="0.2">
      <c r="B78" s="161"/>
      <c r="C78" s="86"/>
      <c r="D78" s="134"/>
      <c r="E78" s="134"/>
      <c r="F78" s="134"/>
      <c r="G78" s="134"/>
      <c r="H78" s="139"/>
      <c r="I78" s="139"/>
      <c r="J78" s="313"/>
    </row>
    <row r="79" spans="2:10" s="121" customFormat="1" ht="15" customHeight="1" x14ac:dyDescent="0.2">
      <c r="B79" s="161" t="s">
        <v>415</v>
      </c>
      <c r="C79" s="86"/>
      <c r="D79" s="134"/>
      <c r="E79" s="134" t="s">
        <v>417</v>
      </c>
      <c r="F79" s="134"/>
      <c r="G79" s="149" t="str">
        <f>IF(AND(ISNUMBER(TONNAGEreg_formulation),ISNUMBER(Fmainsource_formulation),ISNUMBER(Fsoil_ref)),TONNAGEreg_formulation*1000*Fmainsource_formulation*Fsoil_ref/Temission_formulation,"??")</f>
        <v>??</v>
      </c>
      <c r="H79" s="139" t="s">
        <v>16</v>
      </c>
      <c r="I79" s="139" t="s">
        <v>7</v>
      </c>
      <c r="J79" s="313" t="s">
        <v>548</v>
      </c>
    </row>
    <row r="80" spans="2:10" s="121" customFormat="1" x14ac:dyDescent="0.2">
      <c r="B80" s="161"/>
      <c r="C80" s="86"/>
      <c r="D80" s="134"/>
      <c r="E80" s="134"/>
      <c r="F80" s="134"/>
      <c r="G80" s="134"/>
      <c r="H80" s="139"/>
      <c r="I80" s="139"/>
      <c r="J80" s="313"/>
    </row>
    <row r="81" spans="2:10" s="121" customFormat="1" x14ac:dyDescent="0.2">
      <c r="B81" s="143" t="s">
        <v>10</v>
      </c>
      <c r="J81" s="146"/>
    </row>
    <row r="82" spans="2:10" s="121" customFormat="1" x14ac:dyDescent="0.2">
      <c r="J82" s="146"/>
    </row>
    <row r="83" spans="2:10" s="121" customFormat="1" x14ac:dyDescent="0.2">
      <c r="B83" s="255" t="s">
        <v>422</v>
      </c>
      <c r="J83" s="146"/>
    </row>
    <row r="84" spans="2:10" s="121" customFormat="1" x14ac:dyDescent="0.2">
      <c r="B84" s="257"/>
      <c r="J84" s="146"/>
    </row>
    <row r="85" spans="2:10" s="121" customFormat="1" ht="14.25" x14ac:dyDescent="0.2">
      <c r="B85" s="246"/>
      <c r="C85" s="246"/>
      <c r="D85" s="246"/>
      <c r="E85" s="246"/>
      <c r="F85" s="246"/>
      <c r="G85" s="246"/>
      <c r="H85" s="246"/>
      <c r="I85" s="246"/>
      <c r="J85" s="246"/>
    </row>
    <row r="86" spans="2:10" s="121" customFormat="1" ht="14.25" x14ac:dyDescent="0.2">
      <c r="B86" s="435" t="s">
        <v>381</v>
      </c>
      <c r="C86" s="436"/>
      <c r="D86" s="436"/>
      <c r="E86" s="436"/>
      <c r="F86" s="436"/>
      <c r="G86" s="436"/>
      <c r="H86" s="436"/>
      <c r="I86" s="436"/>
      <c r="J86" s="436"/>
    </row>
    <row r="87" spans="2:10" s="121" customFormat="1" ht="14.25" x14ac:dyDescent="0.2">
      <c r="B87" s="246"/>
      <c r="C87" s="246"/>
      <c r="D87" s="246"/>
      <c r="E87" s="246"/>
      <c r="F87" s="246"/>
      <c r="G87" s="246"/>
      <c r="H87" s="246"/>
      <c r="I87" s="246"/>
      <c r="J87" s="246"/>
    </row>
    <row r="88" spans="2:10" s="121" customFormat="1" ht="18" x14ac:dyDescent="0.2">
      <c r="B88" s="437" t="s">
        <v>447</v>
      </c>
      <c r="C88" s="437"/>
      <c r="D88" s="437"/>
      <c r="E88" s="437"/>
      <c r="F88" s="437"/>
      <c r="G88" s="437"/>
      <c r="H88" s="437"/>
      <c r="I88" s="437"/>
      <c r="J88" s="437"/>
    </row>
    <row r="89" spans="2:10" s="121" customFormat="1" ht="3" customHeight="1" x14ac:dyDescent="0.2">
      <c r="B89" s="246"/>
      <c r="C89" s="246"/>
      <c r="D89" s="246"/>
      <c r="E89" s="246"/>
      <c r="F89" s="246"/>
      <c r="G89" s="246"/>
      <c r="H89" s="246"/>
      <c r="I89" s="246"/>
      <c r="J89" s="246"/>
    </row>
    <row r="90" spans="2:10" s="121" customFormat="1" ht="14.25" x14ac:dyDescent="0.2">
      <c r="B90" s="129" t="s">
        <v>8</v>
      </c>
      <c r="C90" s="246"/>
      <c r="D90" s="246"/>
      <c r="E90" s="246"/>
      <c r="F90" s="246"/>
      <c r="G90" s="246"/>
      <c r="H90" s="246"/>
      <c r="I90" s="246"/>
      <c r="J90" s="246"/>
    </row>
    <row r="91" spans="2:10" s="121" customFormat="1" ht="14.25" customHeight="1" x14ac:dyDescent="0.2">
      <c r="B91" s="469" t="s">
        <v>473</v>
      </c>
      <c r="C91" s="469"/>
      <c r="D91" s="469"/>
      <c r="E91" s="469"/>
      <c r="F91" s="469"/>
      <c r="G91" s="469"/>
      <c r="H91" s="469"/>
      <c r="I91" s="469"/>
      <c r="J91" s="469"/>
    </row>
    <row r="92" spans="2:10" s="121" customFormat="1" x14ac:dyDescent="0.2">
      <c r="B92" s="469" t="s">
        <v>472</v>
      </c>
      <c r="C92" s="469"/>
      <c r="D92" s="469"/>
      <c r="E92" s="469"/>
      <c r="F92" s="469"/>
      <c r="G92" s="469"/>
      <c r="H92" s="469"/>
      <c r="I92" s="469"/>
      <c r="J92" s="469"/>
    </row>
    <row r="93" spans="2:10" s="121" customFormat="1" ht="3" customHeight="1" x14ac:dyDescent="0.2">
      <c r="B93" s="246"/>
      <c r="C93" s="246"/>
      <c r="D93" s="246"/>
      <c r="E93" s="246"/>
      <c r="F93" s="246"/>
      <c r="G93" s="246"/>
      <c r="H93" s="246"/>
      <c r="I93" s="246"/>
      <c r="J93" s="246"/>
    </row>
    <row r="94" spans="2:10" s="121" customFormat="1" ht="15" x14ac:dyDescent="0.2">
      <c r="B94" s="131" t="s">
        <v>0</v>
      </c>
      <c r="C94" s="132"/>
      <c r="D94" s="132"/>
      <c r="E94" s="132"/>
      <c r="F94" s="132"/>
      <c r="G94" s="132"/>
      <c r="H94" s="132"/>
      <c r="I94" s="132"/>
      <c r="J94" s="133"/>
    </row>
    <row r="95" spans="2:10" s="121" customFormat="1" ht="3" customHeight="1" x14ac:dyDescent="0.2">
      <c r="B95" s="134"/>
      <c r="C95" s="134"/>
      <c r="D95" s="134"/>
      <c r="E95" s="134"/>
      <c r="F95" s="134"/>
      <c r="G95" s="134"/>
      <c r="H95" s="134"/>
      <c r="I95" s="134"/>
      <c r="J95" s="243"/>
    </row>
    <row r="96" spans="2:10" s="121" customFormat="1" ht="15" x14ac:dyDescent="0.2">
      <c r="B96" s="136" t="s">
        <v>2</v>
      </c>
      <c r="C96" s="136"/>
      <c r="D96" s="136"/>
      <c r="E96" s="137" t="s">
        <v>4</v>
      </c>
      <c r="F96" s="138"/>
      <c r="G96" s="138" t="s">
        <v>6</v>
      </c>
      <c r="H96" s="138" t="s">
        <v>3</v>
      </c>
      <c r="I96" s="138" t="s">
        <v>9</v>
      </c>
      <c r="J96" s="137" t="s">
        <v>15</v>
      </c>
    </row>
    <row r="97" spans="2:10" s="121" customFormat="1" ht="3" customHeight="1" x14ac:dyDescent="0.2">
      <c r="B97" s="134"/>
      <c r="C97" s="134"/>
      <c r="D97" s="134"/>
      <c r="E97" s="134"/>
      <c r="F97" s="134"/>
      <c r="G97" s="134"/>
      <c r="H97" s="134"/>
      <c r="I97" s="134"/>
      <c r="J97" s="243"/>
    </row>
    <row r="98" spans="2:10" s="121" customFormat="1" ht="15" x14ac:dyDescent="0.2">
      <c r="B98" s="426" t="s">
        <v>448</v>
      </c>
      <c r="C98" s="426"/>
      <c r="D98" s="134"/>
      <c r="E98" s="134" t="s">
        <v>453</v>
      </c>
      <c r="F98" s="134"/>
      <c r="G98" s="139">
        <v>13</v>
      </c>
      <c r="H98" s="139" t="s">
        <v>287</v>
      </c>
      <c r="I98" s="148" t="str">
        <f>IF(Qtextile=13,"D","S")</f>
        <v>D</v>
      </c>
      <c r="J98" s="243"/>
    </row>
    <row r="99" spans="2:10" s="121" customFormat="1" ht="3" customHeight="1" x14ac:dyDescent="0.2">
      <c r="B99" s="134"/>
      <c r="C99" s="134"/>
      <c r="D99" s="134"/>
      <c r="E99" s="134"/>
      <c r="F99" s="134"/>
      <c r="G99" s="134"/>
      <c r="H99" s="134"/>
      <c r="I99" s="134"/>
      <c r="J99" s="243"/>
    </row>
    <row r="100" spans="2:10" s="121" customFormat="1" x14ac:dyDescent="0.2">
      <c r="B100" s="134" t="s">
        <v>449</v>
      </c>
      <c r="C100" s="134"/>
      <c r="D100" s="134"/>
      <c r="E100" s="134" t="s">
        <v>454</v>
      </c>
      <c r="F100" s="134"/>
      <c r="G100" s="134"/>
      <c r="H100" s="134"/>
      <c r="I100" s="134"/>
      <c r="J100" s="243"/>
    </row>
    <row r="101" spans="2:10" s="121" customFormat="1" ht="15" x14ac:dyDescent="0.2">
      <c r="B101" s="479" t="s">
        <v>450</v>
      </c>
      <c r="C101" s="480"/>
      <c r="D101" s="134"/>
      <c r="E101" s="134"/>
      <c r="F101" s="134"/>
      <c r="G101" s="139">
        <v>120</v>
      </c>
      <c r="H101" s="139" t="s">
        <v>291</v>
      </c>
      <c r="I101" s="148" t="str">
        <f>IF(Qproduct_pt=120,"D","S")</f>
        <v>D</v>
      </c>
      <c r="J101" s="243"/>
    </row>
    <row r="102" spans="2:10" s="121" customFormat="1" ht="15" x14ac:dyDescent="0.2">
      <c r="B102" s="134"/>
      <c r="C102" s="275" t="s">
        <v>451</v>
      </c>
      <c r="D102" s="134"/>
      <c r="E102" s="134"/>
      <c r="F102" s="134"/>
      <c r="G102" s="139">
        <v>20</v>
      </c>
      <c r="H102" s="139" t="s">
        <v>291</v>
      </c>
      <c r="I102" s="148" t="str">
        <f>IF(Qproduct_ep=20,"D","S")</f>
        <v>D</v>
      </c>
      <c r="J102" s="243"/>
    </row>
    <row r="103" spans="2:10" s="121" customFormat="1" ht="15" x14ac:dyDescent="0.2">
      <c r="B103" s="134"/>
      <c r="C103" s="275" t="s">
        <v>452</v>
      </c>
      <c r="D103" s="134"/>
      <c r="E103" s="134"/>
      <c r="F103" s="134"/>
      <c r="G103" s="139">
        <v>20</v>
      </c>
      <c r="H103" s="139" t="s">
        <v>291</v>
      </c>
      <c r="I103" s="148" t="str">
        <f>IF(Qproduct_pp=20,"D","S")</f>
        <v>D</v>
      </c>
      <c r="J103" s="243"/>
    </row>
    <row r="104" spans="2:10" s="121" customFormat="1" ht="3" customHeight="1" x14ac:dyDescent="0.2">
      <c r="B104" s="134"/>
      <c r="C104" s="134"/>
      <c r="D104" s="134"/>
      <c r="E104" s="134"/>
      <c r="F104" s="134"/>
      <c r="G104" s="134"/>
      <c r="H104" s="134"/>
      <c r="I104" s="134"/>
      <c r="J104" s="243"/>
    </row>
    <row r="105" spans="2:10" s="121" customFormat="1" x14ac:dyDescent="0.2">
      <c r="B105" s="426" t="s">
        <v>656</v>
      </c>
      <c r="C105" s="426"/>
      <c r="D105" s="134"/>
      <c r="E105" s="134" t="s">
        <v>455</v>
      </c>
      <c r="F105" s="134"/>
      <c r="G105" s="141"/>
      <c r="H105" s="142" t="s">
        <v>5</v>
      </c>
      <c r="I105" s="139" t="s">
        <v>18</v>
      </c>
      <c r="J105" s="243"/>
    </row>
    <row r="106" spans="2:10" s="121" customFormat="1" ht="3" customHeight="1" x14ac:dyDescent="0.2">
      <c r="B106" s="134"/>
      <c r="C106" s="134"/>
      <c r="D106" s="134"/>
      <c r="E106" s="134"/>
      <c r="F106" s="134"/>
      <c r="G106" s="134"/>
      <c r="H106" s="134"/>
      <c r="I106" s="134"/>
      <c r="J106" s="243"/>
    </row>
    <row r="107" spans="2:10" s="121" customFormat="1" x14ac:dyDescent="0.2">
      <c r="B107" s="276" t="s">
        <v>456</v>
      </c>
      <c r="C107" s="276"/>
      <c r="D107" s="134"/>
      <c r="E107" s="134" t="s">
        <v>457</v>
      </c>
      <c r="F107" s="134"/>
      <c r="G107" s="134"/>
      <c r="H107" s="134"/>
      <c r="I107" s="134"/>
      <c r="J107" s="243"/>
    </row>
    <row r="108" spans="2:10" s="121" customFormat="1" x14ac:dyDescent="0.2">
      <c r="B108" s="134"/>
      <c r="C108" s="479" t="s">
        <v>450</v>
      </c>
      <c r="D108" s="480"/>
      <c r="E108" s="134"/>
      <c r="F108" s="134"/>
      <c r="G108" s="139">
        <v>0</v>
      </c>
      <c r="H108" s="142" t="s">
        <v>5</v>
      </c>
      <c r="I108" s="148" t="str">
        <f>IF(Ffixation_pt=0,"D","S")</f>
        <v>D</v>
      </c>
      <c r="J108" s="243"/>
    </row>
    <row r="109" spans="2:10" s="121" customFormat="1" x14ac:dyDescent="0.2">
      <c r="B109" s="134"/>
      <c r="C109" s="134"/>
      <c r="D109" s="275" t="s">
        <v>451</v>
      </c>
      <c r="E109" s="134"/>
      <c r="F109" s="134"/>
      <c r="G109" s="139">
        <v>0</v>
      </c>
      <c r="H109" s="142" t="s">
        <v>5</v>
      </c>
      <c r="I109" s="148" t="str">
        <f>IF(Ffixation_ep=0,"D","S")</f>
        <v>D</v>
      </c>
      <c r="J109" s="243"/>
    </row>
    <row r="110" spans="2:10" s="121" customFormat="1" x14ac:dyDescent="0.2">
      <c r="B110" s="134"/>
      <c r="C110" s="134"/>
      <c r="D110" s="275" t="s">
        <v>452</v>
      </c>
      <c r="E110" s="134"/>
      <c r="F110" s="134"/>
      <c r="G110" s="139">
        <v>0</v>
      </c>
      <c r="H110" s="142" t="s">
        <v>5</v>
      </c>
      <c r="I110" s="148" t="str">
        <f>IF(Ffixation_pp=0,"D","S")</f>
        <v>D</v>
      </c>
      <c r="J110" s="243"/>
    </row>
    <row r="111" spans="2:10" s="121" customFormat="1" x14ac:dyDescent="0.2">
      <c r="B111" s="134"/>
      <c r="C111" s="134"/>
      <c r="D111" s="134"/>
      <c r="E111" s="134"/>
      <c r="F111" s="134"/>
      <c r="G111" s="134"/>
      <c r="H111" s="134"/>
      <c r="I111" s="134"/>
      <c r="J111" s="243"/>
    </row>
    <row r="112" spans="2:10" s="121" customFormat="1" ht="27" customHeight="1" x14ac:dyDescent="0.2">
      <c r="B112" s="431" t="s">
        <v>458</v>
      </c>
      <c r="C112" s="431"/>
      <c r="D112" s="134"/>
      <c r="E112" s="249" t="s">
        <v>459</v>
      </c>
      <c r="F112" s="134"/>
      <c r="G112" s="139">
        <v>0.3</v>
      </c>
      <c r="H112" s="142" t="s">
        <v>5</v>
      </c>
      <c r="I112" s="148" t="str">
        <f>IF(Fproduct=0.3,"D","S")</f>
        <v>D</v>
      </c>
      <c r="J112" s="243"/>
    </row>
    <row r="113" spans="2:10" s="121" customFormat="1" ht="3" customHeight="1" x14ac:dyDescent="0.2">
      <c r="B113" s="134"/>
      <c r="C113" s="134"/>
      <c r="D113" s="134"/>
      <c r="E113" s="249"/>
      <c r="F113" s="134"/>
      <c r="G113" s="139"/>
      <c r="H113" s="139"/>
      <c r="I113" s="139"/>
      <c r="J113" s="243"/>
    </row>
    <row r="114" spans="2:10" s="121" customFormat="1" x14ac:dyDescent="0.2">
      <c r="B114" s="431" t="s">
        <v>460</v>
      </c>
      <c r="C114" s="431"/>
      <c r="D114" s="134"/>
      <c r="E114" s="243" t="s">
        <v>461</v>
      </c>
      <c r="F114" s="134"/>
      <c r="G114" s="139">
        <v>0.25</v>
      </c>
      <c r="H114" s="142" t="s">
        <v>5</v>
      </c>
      <c r="I114" s="148" t="str">
        <f>IF(Fresidual_liquor=0.25,"D","S")</f>
        <v>D</v>
      </c>
      <c r="J114" s="243"/>
    </row>
    <row r="115" spans="2:10" s="121" customFormat="1" ht="3" customHeight="1" x14ac:dyDescent="0.2">
      <c r="B115" s="134"/>
      <c r="C115" s="134"/>
      <c r="D115" s="134"/>
      <c r="E115" s="243"/>
      <c r="F115" s="134"/>
      <c r="G115" s="139"/>
      <c r="H115" s="139"/>
      <c r="I115" s="139"/>
      <c r="J115" s="243"/>
    </row>
    <row r="116" spans="2:10" s="121" customFormat="1" x14ac:dyDescent="0.2">
      <c r="B116" s="431" t="s">
        <v>462</v>
      </c>
      <c r="C116" s="431"/>
      <c r="D116" s="134"/>
      <c r="E116" s="249" t="s">
        <v>100</v>
      </c>
      <c r="F116" s="134"/>
      <c r="G116" s="139">
        <v>1</v>
      </c>
      <c r="H116" s="142" t="s">
        <v>5</v>
      </c>
      <c r="I116" s="148" t="str">
        <f>IF(Fpenetr=1,"D","S")</f>
        <v>D</v>
      </c>
      <c r="J116" s="243"/>
    </row>
    <row r="117" spans="2:10" s="121" customFormat="1" x14ac:dyDescent="0.2">
      <c r="B117" s="134"/>
      <c r="C117" s="134"/>
      <c r="D117" s="134"/>
      <c r="E117" s="134"/>
      <c r="F117" s="134"/>
      <c r="G117" s="134"/>
      <c r="H117" s="134"/>
      <c r="I117" s="134"/>
      <c r="J117" s="243"/>
    </row>
    <row r="118" spans="2:10" s="121" customFormat="1" ht="15" x14ac:dyDescent="0.2">
      <c r="B118" s="131" t="s">
        <v>1</v>
      </c>
      <c r="C118" s="132"/>
      <c r="D118" s="132"/>
      <c r="E118" s="132"/>
      <c r="F118" s="132"/>
      <c r="G118" s="132"/>
      <c r="H118" s="132"/>
      <c r="I118" s="132"/>
      <c r="J118" s="133"/>
    </row>
    <row r="119" spans="2:10" s="121" customFormat="1" ht="3" customHeight="1" x14ac:dyDescent="0.2">
      <c r="B119" s="134"/>
      <c r="C119" s="134"/>
      <c r="D119" s="134"/>
      <c r="E119" s="134"/>
      <c r="F119" s="134"/>
      <c r="G119" s="134"/>
      <c r="H119" s="134"/>
      <c r="I119" s="134"/>
      <c r="J119" s="243"/>
    </row>
    <row r="120" spans="2:10" s="121" customFormat="1" ht="15" x14ac:dyDescent="0.2">
      <c r="B120" s="136" t="s">
        <v>2</v>
      </c>
      <c r="C120" s="136"/>
      <c r="D120" s="136"/>
      <c r="E120" s="137" t="s">
        <v>4</v>
      </c>
      <c r="F120" s="138"/>
      <c r="G120" s="138" t="s">
        <v>6</v>
      </c>
      <c r="H120" s="138" t="s">
        <v>3</v>
      </c>
      <c r="I120" s="138" t="s">
        <v>9</v>
      </c>
      <c r="J120" s="137" t="s">
        <v>15</v>
      </c>
    </row>
    <row r="121" spans="2:10" s="121" customFormat="1" ht="3" customHeight="1" x14ac:dyDescent="0.2">
      <c r="B121" s="136"/>
      <c r="C121" s="136"/>
      <c r="D121" s="136"/>
      <c r="E121" s="137"/>
      <c r="F121" s="138"/>
      <c r="G121" s="138"/>
      <c r="H121" s="138"/>
      <c r="I121" s="138"/>
      <c r="J121" s="137"/>
    </row>
    <row r="122" spans="2:10" s="121" customFormat="1" x14ac:dyDescent="0.2">
      <c r="B122" s="427" t="s">
        <v>463</v>
      </c>
      <c r="C122" s="427"/>
      <c r="D122" s="136"/>
      <c r="E122" s="134" t="s">
        <v>44</v>
      </c>
      <c r="F122" s="138"/>
      <c r="G122" s="138"/>
      <c r="H122" s="138"/>
      <c r="I122" s="138"/>
      <c r="J122" s="250"/>
    </row>
    <row r="123" spans="2:10" s="121" customFormat="1" ht="39.950000000000003" customHeight="1" x14ac:dyDescent="0.2">
      <c r="B123" s="192"/>
      <c r="C123" s="479" t="s">
        <v>450</v>
      </c>
      <c r="D123" s="480"/>
      <c r="E123" s="137"/>
      <c r="F123" s="138"/>
      <c r="G123" s="251" t="str">
        <f>IF(ISNUMBER(Csubstance),Qtextile*Qproduct_pt*Csubstance*(1-Ffixation_pt)*Fpenetr,"??")</f>
        <v>??</v>
      </c>
      <c r="H123" s="139" t="s">
        <v>16</v>
      </c>
      <c r="I123" s="139" t="s">
        <v>7</v>
      </c>
      <c r="J123" s="250" t="s">
        <v>465</v>
      </c>
    </row>
    <row r="124" spans="2:10" s="121" customFormat="1" ht="39.950000000000003" customHeight="1" x14ac:dyDescent="0.2">
      <c r="B124" s="134"/>
      <c r="C124" s="134"/>
      <c r="D124" s="275" t="s">
        <v>451</v>
      </c>
      <c r="E124" s="137"/>
      <c r="F124" s="138"/>
      <c r="G124" s="251" t="str">
        <f>IF(ISNUMBER(Csubstance),Qtextile*Fproduct*Qproduct_ep*Csubstance*(1-Ffixation_ep)*Fpenetr,"??")</f>
        <v>??</v>
      </c>
      <c r="H124" s="139" t="s">
        <v>16</v>
      </c>
      <c r="I124" s="139" t="s">
        <v>7</v>
      </c>
      <c r="J124" s="250" t="s">
        <v>466</v>
      </c>
    </row>
    <row r="125" spans="2:10" s="121" customFormat="1" ht="39.950000000000003" customHeight="1" x14ac:dyDescent="0.2">
      <c r="B125" s="134"/>
      <c r="C125" s="134"/>
      <c r="D125" s="275" t="s">
        <v>452</v>
      </c>
      <c r="E125" s="137"/>
      <c r="F125" s="138"/>
      <c r="G125" s="251" t="str">
        <f>IF(ISNUMBER(Csubstance),Qtextile*Fproduct*Qproduct_pp*Csubstance*(1-Ffixation_pp)*Fpenetr+Qtextile*Fproduct*Qproduct_pp*Csubstance*Fresidual_liquor*Fpenetr,"??")</f>
        <v>??</v>
      </c>
      <c r="H125" s="139" t="s">
        <v>16</v>
      </c>
      <c r="I125" s="139" t="s">
        <v>7</v>
      </c>
      <c r="J125" s="250" t="s">
        <v>467</v>
      </c>
    </row>
    <row r="126" spans="2:10" s="121" customFormat="1" x14ac:dyDescent="0.2">
      <c r="B126" s="134"/>
      <c r="C126" s="134"/>
      <c r="D126" s="275"/>
      <c r="E126" s="137"/>
      <c r="F126" s="138"/>
      <c r="G126" s="138"/>
      <c r="H126" s="138"/>
      <c r="I126" s="138"/>
      <c r="J126" s="137"/>
    </row>
    <row r="127" spans="2:10" s="121" customFormat="1" ht="27" customHeight="1" x14ac:dyDescent="0.2">
      <c r="B127" s="427" t="s">
        <v>468</v>
      </c>
      <c r="C127" s="427"/>
      <c r="D127" s="134"/>
      <c r="E127" s="134" t="s">
        <v>469</v>
      </c>
      <c r="F127" s="134"/>
      <c r="G127" s="149" t="str">
        <f>IF(AND(ISNUMBER(Elocal_water_pt),ISNUMBER(Elocal_water_ep),ISNUMBER(Elocal_water_pp)),Elocal_water_pt+Elocal_water_ep+Elocal_water_pp,"??")</f>
        <v>??</v>
      </c>
      <c r="H127" s="139" t="s">
        <v>16</v>
      </c>
      <c r="I127" s="139" t="s">
        <v>7</v>
      </c>
      <c r="J127" s="250" t="s">
        <v>470</v>
      </c>
    </row>
    <row r="128" spans="2:10" s="121" customFormat="1" x14ac:dyDescent="0.2">
      <c r="B128" s="161"/>
      <c r="C128" s="86"/>
      <c r="D128" s="134"/>
      <c r="E128" s="134"/>
      <c r="F128" s="134"/>
      <c r="G128" s="134"/>
      <c r="H128" s="139"/>
      <c r="I128" s="139"/>
      <c r="J128" s="244"/>
    </row>
    <row r="129" spans="2:10" s="121" customFormat="1" x14ac:dyDescent="0.2">
      <c r="B129" s="143" t="s">
        <v>10</v>
      </c>
      <c r="J129" s="146"/>
    </row>
    <row r="130" spans="2:10" s="121" customFormat="1" x14ac:dyDescent="0.2">
      <c r="J130" s="146"/>
    </row>
    <row r="131" spans="2:10" s="121" customFormat="1" x14ac:dyDescent="0.2">
      <c r="B131" s="255" t="s">
        <v>422</v>
      </c>
      <c r="J131" s="146"/>
    </row>
    <row r="132" spans="2:10" s="121" customFormat="1" x14ac:dyDescent="0.2">
      <c r="B132" s="247"/>
      <c r="C132" s="247"/>
      <c r="D132" s="247"/>
      <c r="E132" s="247"/>
      <c r="F132" s="247"/>
      <c r="G132" s="247"/>
      <c r="H132" s="247"/>
      <c r="I132" s="247"/>
      <c r="J132" s="247"/>
    </row>
    <row r="133" spans="2:10" s="121" customFormat="1" x14ac:dyDescent="0.2">
      <c r="B133" s="247"/>
      <c r="C133" s="247"/>
      <c r="D133" s="247"/>
      <c r="E133" s="247"/>
      <c r="F133" s="247"/>
      <c r="G133" s="247"/>
      <c r="H133" s="247"/>
      <c r="I133" s="247"/>
      <c r="J133" s="247"/>
    </row>
    <row r="134" spans="2:10" s="121" customFormat="1" x14ac:dyDescent="0.2">
      <c r="J134" s="146"/>
    </row>
    <row r="135" spans="2:10" s="121" customFormat="1" x14ac:dyDescent="0.2">
      <c r="J135" s="146"/>
    </row>
    <row r="136" spans="2:10" s="121" customFormat="1" x14ac:dyDescent="0.2">
      <c r="J136" s="146"/>
    </row>
    <row r="137" spans="2:10" s="121" customFormat="1" x14ac:dyDescent="0.2">
      <c r="J137" s="146"/>
    </row>
    <row r="138" spans="2:10" s="121" customFormat="1" x14ac:dyDescent="0.2">
      <c r="J138" s="146"/>
    </row>
    <row r="139" spans="2:10" s="121" customFormat="1" x14ac:dyDescent="0.2">
      <c r="J139" s="146"/>
    </row>
    <row r="140" spans="2:10" s="121" customFormat="1" x14ac:dyDescent="0.2">
      <c r="J140" s="146"/>
    </row>
    <row r="141" spans="2:10" s="121" customFormat="1" x14ac:dyDescent="0.2">
      <c r="J141" s="146"/>
    </row>
    <row r="142" spans="2:10" s="121" customFormat="1" x14ac:dyDescent="0.2">
      <c r="J142" s="146"/>
    </row>
    <row r="143" spans="2:10" s="121" customFormat="1" x14ac:dyDescent="0.2">
      <c r="J143" s="146"/>
    </row>
    <row r="144" spans="2:10" s="121" customFormat="1" x14ac:dyDescent="0.2">
      <c r="J144" s="146"/>
    </row>
    <row r="145" spans="10:10" s="121" customFormat="1" x14ac:dyDescent="0.2">
      <c r="J145" s="146"/>
    </row>
    <row r="146" spans="10:10" s="121" customFormat="1" x14ac:dyDescent="0.2">
      <c r="J146" s="146"/>
    </row>
    <row r="147" spans="10:10" s="121" customFormat="1" x14ac:dyDescent="0.2">
      <c r="J147" s="146"/>
    </row>
    <row r="148" spans="10:10" s="121" customFormat="1" x14ac:dyDescent="0.2">
      <c r="J148" s="146"/>
    </row>
    <row r="149" spans="10:10" s="121" customFormat="1" x14ac:dyDescent="0.2">
      <c r="J149" s="146"/>
    </row>
    <row r="150" spans="10:10" s="121" customFormat="1" x14ac:dyDescent="0.2">
      <c r="J150" s="146"/>
    </row>
    <row r="151" spans="10:10" s="121" customFormat="1" x14ac:dyDescent="0.2">
      <c r="J151" s="146"/>
    </row>
    <row r="152" spans="10:10" s="121" customFormat="1" x14ac:dyDescent="0.2">
      <c r="J152" s="146"/>
    </row>
    <row r="153" spans="10:10" s="121" customFormat="1" x14ac:dyDescent="0.2">
      <c r="J153" s="146"/>
    </row>
    <row r="154" spans="10:10" s="121" customFormat="1" x14ac:dyDescent="0.2">
      <c r="J154" s="146"/>
    </row>
    <row r="155" spans="10:10" s="121" customFormat="1" x14ac:dyDescent="0.2">
      <c r="J155" s="146"/>
    </row>
    <row r="156" spans="10:10" s="121" customFormat="1" x14ac:dyDescent="0.2">
      <c r="J156" s="146"/>
    </row>
    <row r="157" spans="10:10" s="121" customFormat="1" x14ac:dyDescent="0.2">
      <c r="J157" s="146"/>
    </row>
    <row r="158" spans="10:10" s="121" customFormat="1" x14ac:dyDescent="0.2">
      <c r="J158" s="146"/>
    </row>
    <row r="159" spans="10:10" s="121" customFormat="1" x14ac:dyDescent="0.2">
      <c r="J159" s="146"/>
    </row>
    <row r="160" spans="10:10" s="121" customFormat="1" x14ac:dyDescent="0.2">
      <c r="J160" s="146"/>
    </row>
    <row r="161" spans="10:10" s="121" customFormat="1" x14ac:dyDescent="0.2">
      <c r="J161" s="146"/>
    </row>
    <row r="162" spans="10:10" s="121" customFormat="1" x14ac:dyDescent="0.2">
      <c r="J162" s="146"/>
    </row>
    <row r="163" spans="10:10" s="121" customFormat="1" x14ac:dyDescent="0.2">
      <c r="J163" s="146"/>
    </row>
    <row r="164" spans="10:10" s="121" customFormat="1" x14ac:dyDescent="0.2">
      <c r="J164" s="146"/>
    </row>
    <row r="165" spans="10:10" s="121" customFormat="1" x14ac:dyDescent="0.2">
      <c r="J165" s="146"/>
    </row>
    <row r="166" spans="10:10" s="121" customFormat="1" x14ac:dyDescent="0.2">
      <c r="J166" s="146"/>
    </row>
    <row r="167" spans="10:10" s="121" customFormat="1" x14ac:dyDescent="0.2">
      <c r="J167" s="146"/>
    </row>
    <row r="168" spans="10:10" s="121" customFormat="1" x14ac:dyDescent="0.2">
      <c r="J168" s="146"/>
    </row>
    <row r="169" spans="10:10" s="121" customFormat="1" x14ac:dyDescent="0.2">
      <c r="J169" s="146"/>
    </row>
    <row r="170" spans="10:10" s="121" customFormat="1" x14ac:dyDescent="0.2">
      <c r="J170" s="146"/>
    </row>
    <row r="171" spans="10:10" s="121" customFormat="1" x14ac:dyDescent="0.2">
      <c r="J171" s="146"/>
    </row>
    <row r="172" spans="10:10" s="121" customFormat="1" x14ac:dyDescent="0.2">
      <c r="J172" s="146"/>
    </row>
    <row r="173" spans="10:10" s="121" customFormat="1" x14ac:dyDescent="0.2">
      <c r="J173" s="146"/>
    </row>
    <row r="174" spans="10:10" s="121" customFormat="1" x14ac:dyDescent="0.2">
      <c r="J174" s="146"/>
    </row>
    <row r="175" spans="10:10" s="121" customFormat="1" x14ac:dyDescent="0.2">
      <c r="J175" s="146"/>
    </row>
    <row r="176" spans="10:10" s="121" customFormat="1" x14ac:dyDescent="0.2">
      <c r="J176" s="146"/>
    </row>
    <row r="177" spans="10:10" s="121" customFormat="1" x14ac:dyDescent="0.2">
      <c r="J177" s="146"/>
    </row>
    <row r="178" spans="10:10" s="121" customFormat="1" x14ac:dyDescent="0.2">
      <c r="J178" s="146"/>
    </row>
    <row r="179" spans="10:10" s="121" customFormat="1" x14ac:dyDescent="0.2">
      <c r="J179" s="146"/>
    </row>
    <row r="180" spans="10:10" s="121" customFormat="1" x14ac:dyDescent="0.2">
      <c r="J180" s="146"/>
    </row>
    <row r="181" spans="10:10" s="121" customFormat="1" x14ac:dyDescent="0.2">
      <c r="J181" s="146"/>
    </row>
    <row r="182" spans="10:10" s="121" customFormat="1" x14ac:dyDescent="0.2">
      <c r="J182" s="146"/>
    </row>
    <row r="183" spans="10:10" s="121" customFormat="1" x14ac:dyDescent="0.2">
      <c r="J183" s="146"/>
    </row>
    <row r="184" spans="10:10" s="121" customFormat="1" x14ac:dyDescent="0.2">
      <c r="J184" s="146"/>
    </row>
    <row r="185" spans="10:10" s="121" customFormat="1" x14ac:dyDescent="0.2">
      <c r="J185" s="146"/>
    </row>
    <row r="186" spans="10:10" s="121" customFormat="1" x14ac:dyDescent="0.2">
      <c r="J186" s="146"/>
    </row>
    <row r="187" spans="10:10" s="121" customFormat="1" x14ac:dyDescent="0.2">
      <c r="J187" s="146"/>
    </row>
    <row r="188" spans="10:10" s="121" customFormat="1" x14ac:dyDescent="0.2">
      <c r="J188" s="146"/>
    </row>
    <row r="189" spans="10:10" s="121" customFormat="1" x14ac:dyDescent="0.2">
      <c r="J189" s="146"/>
    </row>
    <row r="190" spans="10:10" s="121" customFormat="1" x14ac:dyDescent="0.2">
      <c r="J190" s="146"/>
    </row>
    <row r="191" spans="10:10" s="121" customFormat="1" x14ac:dyDescent="0.2">
      <c r="J191" s="146"/>
    </row>
    <row r="192" spans="10:10" s="121" customFormat="1" x14ac:dyDescent="0.2">
      <c r="J192" s="146"/>
    </row>
    <row r="193" spans="10:10" s="121" customFormat="1" x14ac:dyDescent="0.2">
      <c r="J193" s="146"/>
    </row>
    <row r="194" spans="10:10" s="121" customFormat="1" x14ac:dyDescent="0.2">
      <c r="J194" s="146"/>
    </row>
    <row r="195" spans="10:10" s="121" customFormat="1" x14ac:dyDescent="0.2">
      <c r="J195" s="146"/>
    </row>
    <row r="196" spans="10:10" s="121" customFormat="1" x14ac:dyDescent="0.2">
      <c r="J196" s="146"/>
    </row>
    <row r="197" spans="10:10" s="121" customFormat="1" x14ac:dyDescent="0.2">
      <c r="J197" s="146"/>
    </row>
    <row r="198" spans="10:10" s="121" customFormat="1" x14ac:dyDescent="0.2">
      <c r="J198" s="146"/>
    </row>
    <row r="199" spans="10:10" s="121" customFormat="1" x14ac:dyDescent="0.2">
      <c r="J199" s="146"/>
    </row>
    <row r="200" spans="10:10" s="121" customFormat="1" x14ac:dyDescent="0.2">
      <c r="J200" s="146"/>
    </row>
    <row r="201" spans="10:10" s="121" customFormat="1" x14ac:dyDescent="0.2">
      <c r="J201" s="146"/>
    </row>
    <row r="202" spans="10:10" s="121" customFormat="1" x14ac:dyDescent="0.2">
      <c r="J202" s="146"/>
    </row>
    <row r="203" spans="10:10" s="121" customFormat="1" x14ac:dyDescent="0.2">
      <c r="J203" s="146"/>
    </row>
    <row r="204" spans="10:10" s="121" customFormat="1" x14ac:dyDescent="0.2">
      <c r="J204" s="146"/>
    </row>
    <row r="205" spans="10:10" s="121" customFormat="1" x14ac:dyDescent="0.2">
      <c r="J205" s="146"/>
    </row>
    <row r="206" spans="10:10" s="121" customFormat="1" x14ac:dyDescent="0.2">
      <c r="J206" s="146"/>
    </row>
    <row r="207" spans="10:10" s="121" customFormat="1" x14ac:dyDescent="0.2">
      <c r="J207" s="146"/>
    </row>
    <row r="208" spans="10:10" s="121" customFormat="1" x14ac:dyDescent="0.2">
      <c r="J208" s="146"/>
    </row>
    <row r="209" spans="10:10" s="121" customFormat="1" x14ac:dyDescent="0.2">
      <c r="J209" s="146"/>
    </row>
    <row r="210" spans="10:10" s="121" customFormat="1" x14ac:dyDescent="0.2">
      <c r="J210" s="146"/>
    </row>
    <row r="211" spans="10:10" s="121" customFormat="1" x14ac:dyDescent="0.2">
      <c r="J211" s="146"/>
    </row>
    <row r="212" spans="10:10" s="121" customFormat="1" x14ac:dyDescent="0.2">
      <c r="J212" s="146"/>
    </row>
    <row r="213" spans="10:10" s="121" customFormat="1" x14ac:dyDescent="0.2">
      <c r="J213" s="146"/>
    </row>
    <row r="214" spans="10:10" s="121" customFormat="1" x14ac:dyDescent="0.2">
      <c r="J214" s="146"/>
    </row>
    <row r="215" spans="10:10" s="121" customFormat="1" x14ac:dyDescent="0.2">
      <c r="J215" s="146"/>
    </row>
    <row r="216" spans="10:10" s="121" customFormat="1" x14ac:dyDescent="0.2">
      <c r="J216" s="146"/>
    </row>
    <row r="217" spans="10:10" s="121" customFormat="1" x14ac:dyDescent="0.2">
      <c r="J217" s="146"/>
    </row>
    <row r="218" spans="10:10" s="121" customFormat="1" x14ac:dyDescent="0.2">
      <c r="J218" s="146"/>
    </row>
    <row r="219" spans="10:10" s="121" customFormat="1" x14ac:dyDescent="0.2">
      <c r="J219" s="146"/>
    </row>
    <row r="220" spans="10:10" s="121" customFormat="1" x14ac:dyDescent="0.2">
      <c r="J220" s="146"/>
    </row>
    <row r="221" spans="10:10" s="121" customFormat="1" x14ac:dyDescent="0.2">
      <c r="J221" s="146"/>
    </row>
    <row r="222" spans="10:10" s="121" customFormat="1" x14ac:dyDescent="0.2">
      <c r="J222" s="146"/>
    </row>
    <row r="223" spans="10:10" s="121" customFormat="1" x14ac:dyDescent="0.2">
      <c r="J223" s="146"/>
    </row>
    <row r="224" spans="10:10" s="121" customFormat="1" x14ac:dyDescent="0.2">
      <c r="J224" s="146"/>
    </row>
    <row r="225" spans="10:10" s="121" customFormat="1" x14ac:dyDescent="0.2">
      <c r="J225" s="146"/>
    </row>
    <row r="226" spans="10:10" s="121" customFormat="1" x14ac:dyDescent="0.2">
      <c r="J226" s="146"/>
    </row>
    <row r="227" spans="10:10" s="121" customFormat="1" x14ac:dyDescent="0.2">
      <c r="J227" s="146"/>
    </row>
    <row r="228" spans="10:10" s="121" customFormat="1" x14ac:dyDescent="0.2">
      <c r="J228" s="146"/>
    </row>
    <row r="229" spans="10:10" s="121" customFormat="1" x14ac:dyDescent="0.2">
      <c r="J229" s="146"/>
    </row>
    <row r="230" spans="10:10" s="121" customFormat="1" x14ac:dyDescent="0.2">
      <c r="J230" s="146"/>
    </row>
    <row r="231" spans="10:10" s="121" customFormat="1" x14ac:dyDescent="0.2">
      <c r="J231" s="146"/>
    </row>
    <row r="232" spans="10:10" s="121" customFormat="1" x14ac:dyDescent="0.2">
      <c r="J232" s="146"/>
    </row>
    <row r="233" spans="10:10" s="121" customFormat="1" x14ac:dyDescent="0.2">
      <c r="J233" s="146"/>
    </row>
    <row r="234" spans="10:10" s="121" customFormat="1" x14ac:dyDescent="0.2">
      <c r="J234" s="146"/>
    </row>
    <row r="235" spans="10:10" s="121" customFormat="1" x14ac:dyDescent="0.2">
      <c r="J235" s="146"/>
    </row>
    <row r="236" spans="10:10" s="121" customFormat="1" x14ac:dyDescent="0.2">
      <c r="J236" s="146"/>
    </row>
    <row r="237" spans="10:10" s="121" customFormat="1" x14ac:dyDescent="0.2">
      <c r="J237" s="146"/>
    </row>
    <row r="238" spans="10:10" s="121" customFormat="1" x14ac:dyDescent="0.2">
      <c r="J238" s="146"/>
    </row>
    <row r="239" spans="10:10" s="121" customFormat="1" x14ac:dyDescent="0.2">
      <c r="J239" s="146"/>
    </row>
    <row r="240" spans="10:10" s="121" customFormat="1" x14ac:dyDescent="0.2">
      <c r="J240" s="146"/>
    </row>
    <row r="241" spans="10:10" s="121" customFormat="1" x14ac:dyDescent="0.2">
      <c r="J241" s="146"/>
    </row>
    <row r="242" spans="10:10" s="121" customFormat="1" x14ac:dyDescent="0.2">
      <c r="J242" s="146"/>
    </row>
    <row r="243" spans="10:10" s="121" customFormat="1" x14ac:dyDescent="0.2">
      <c r="J243" s="146"/>
    </row>
    <row r="244" spans="10:10" s="121" customFormat="1" x14ac:dyDescent="0.2">
      <c r="J244" s="146"/>
    </row>
    <row r="245" spans="10:10" s="121" customFormat="1" x14ac:dyDescent="0.2">
      <c r="J245" s="146"/>
    </row>
    <row r="246" spans="10:10" s="121" customFormat="1" x14ac:dyDescent="0.2">
      <c r="J246" s="146"/>
    </row>
    <row r="247" spans="10:10" s="121" customFormat="1" x14ac:dyDescent="0.2">
      <c r="J247" s="146"/>
    </row>
    <row r="248" spans="10:10" s="121" customFormat="1" x14ac:dyDescent="0.2">
      <c r="J248" s="146"/>
    </row>
    <row r="249" spans="10:10" s="121" customFormat="1" x14ac:dyDescent="0.2">
      <c r="J249" s="146"/>
    </row>
    <row r="250" spans="10:10" s="121" customFormat="1" x14ac:dyDescent="0.2">
      <c r="J250" s="146"/>
    </row>
    <row r="251" spans="10:10" s="121" customFormat="1" x14ac:dyDescent="0.2">
      <c r="J251" s="146"/>
    </row>
    <row r="252" spans="10:10" s="121" customFormat="1" x14ac:dyDescent="0.2">
      <c r="J252" s="146"/>
    </row>
    <row r="253" spans="10:10" s="121" customFormat="1" x14ac:dyDescent="0.2">
      <c r="J253" s="146"/>
    </row>
    <row r="254" spans="10:10" s="121" customFormat="1" x14ac:dyDescent="0.2">
      <c r="J254" s="146"/>
    </row>
    <row r="255" spans="10:10" s="121" customFormat="1" x14ac:dyDescent="0.2">
      <c r="J255" s="146"/>
    </row>
    <row r="256" spans="10:10" s="121" customFormat="1" x14ac:dyDescent="0.2">
      <c r="J256" s="146"/>
    </row>
    <row r="257" spans="10:10" s="121" customFormat="1" x14ac:dyDescent="0.2">
      <c r="J257" s="146"/>
    </row>
    <row r="258" spans="10:10" s="121" customFormat="1" x14ac:dyDescent="0.2">
      <c r="J258" s="146"/>
    </row>
    <row r="259" spans="10:10" s="121" customFormat="1" x14ac:dyDescent="0.2">
      <c r="J259" s="146"/>
    </row>
    <row r="260" spans="10:10" s="121" customFormat="1" x14ac:dyDescent="0.2">
      <c r="J260" s="146"/>
    </row>
    <row r="261" spans="10:10" s="121" customFormat="1" x14ac:dyDescent="0.2">
      <c r="J261" s="146"/>
    </row>
    <row r="262" spans="10:10" s="121" customFormat="1" x14ac:dyDescent="0.2">
      <c r="J262" s="146"/>
    </row>
    <row r="263" spans="10:10" s="121" customFormat="1" x14ac:dyDescent="0.2">
      <c r="J263" s="146"/>
    </row>
    <row r="264" spans="10:10" s="121" customFormat="1" x14ac:dyDescent="0.2">
      <c r="J264" s="146"/>
    </row>
    <row r="265" spans="10:10" s="121" customFormat="1" x14ac:dyDescent="0.2">
      <c r="J265" s="146"/>
    </row>
    <row r="266" spans="10:10" s="121" customFormat="1" x14ac:dyDescent="0.2">
      <c r="J266" s="146"/>
    </row>
    <row r="267" spans="10:10" s="121" customFormat="1" x14ac:dyDescent="0.2">
      <c r="J267" s="146"/>
    </row>
    <row r="268" spans="10:10" s="121" customFormat="1" x14ac:dyDescent="0.2">
      <c r="J268" s="146"/>
    </row>
    <row r="269" spans="10:10" s="121" customFormat="1" x14ac:dyDescent="0.2">
      <c r="J269" s="146"/>
    </row>
    <row r="270" spans="10:10" s="121" customFormat="1" x14ac:dyDescent="0.2">
      <c r="J270" s="146"/>
    </row>
    <row r="271" spans="10:10" s="121" customFormat="1" x14ac:dyDescent="0.2">
      <c r="J271" s="146"/>
    </row>
    <row r="272" spans="10:10" s="121" customFormat="1" x14ac:dyDescent="0.2">
      <c r="J272" s="146"/>
    </row>
    <row r="273" spans="10:10" s="121" customFormat="1" x14ac:dyDescent="0.2">
      <c r="J273" s="146"/>
    </row>
    <row r="274" spans="10:10" s="121" customFormat="1" x14ac:dyDescent="0.2">
      <c r="J274" s="146"/>
    </row>
    <row r="275" spans="10:10" s="121" customFormat="1" x14ac:dyDescent="0.2">
      <c r="J275" s="146"/>
    </row>
    <row r="276" spans="10:10" s="121" customFormat="1" x14ac:dyDescent="0.2">
      <c r="J276" s="146"/>
    </row>
    <row r="277" spans="10:10" s="121" customFormat="1" x14ac:dyDescent="0.2">
      <c r="J277" s="146"/>
    </row>
    <row r="278" spans="10:10" s="121" customFormat="1" x14ac:dyDescent="0.2">
      <c r="J278" s="146"/>
    </row>
    <row r="279" spans="10:10" s="121" customFormat="1" x14ac:dyDescent="0.2">
      <c r="J279" s="146"/>
    </row>
    <row r="280" spans="10:10" s="121" customFormat="1" x14ac:dyDescent="0.2">
      <c r="J280" s="146"/>
    </row>
    <row r="281" spans="10:10" s="121" customFormat="1" x14ac:dyDescent="0.2">
      <c r="J281" s="146"/>
    </row>
    <row r="282" spans="10:10" s="121" customFormat="1" x14ac:dyDescent="0.2">
      <c r="J282" s="146"/>
    </row>
    <row r="283" spans="10:10" s="121" customFormat="1" x14ac:dyDescent="0.2">
      <c r="J283" s="146"/>
    </row>
    <row r="284" spans="10:10" s="121" customFormat="1" x14ac:dyDescent="0.2">
      <c r="J284" s="146"/>
    </row>
    <row r="285" spans="10:10" s="121" customFormat="1" x14ac:dyDescent="0.2">
      <c r="J285" s="146"/>
    </row>
    <row r="286" spans="10:10" s="121" customFormat="1" x14ac:dyDescent="0.2">
      <c r="J286" s="146"/>
    </row>
    <row r="287" spans="10:10" s="121" customFormat="1" x14ac:dyDescent="0.2">
      <c r="J287" s="146"/>
    </row>
    <row r="288" spans="10:10" s="121" customFormat="1" x14ac:dyDescent="0.2">
      <c r="J288" s="146"/>
    </row>
    <row r="289" spans="10:10" s="121" customFormat="1" x14ac:dyDescent="0.2">
      <c r="J289" s="146"/>
    </row>
    <row r="290" spans="10:10" s="121" customFormat="1" x14ac:dyDescent="0.2">
      <c r="J290" s="146"/>
    </row>
    <row r="291" spans="10:10" s="121" customFormat="1" x14ac:dyDescent="0.2">
      <c r="J291" s="146"/>
    </row>
    <row r="292" spans="10:10" s="121" customFormat="1" x14ac:dyDescent="0.2">
      <c r="J292" s="146"/>
    </row>
    <row r="293" spans="10:10" s="121" customFormat="1" x14ac:dyDescent="0.2">
      <c r="J293" s="146"/>
    </row>
    <row r="294" spans="10:10" s="121" customFormat="1" x14ac:dyDescent="0.2">
      <c r="J294" s="146"/>
    </row>
    <row r="295" spans="10:10" s="121" customFormat="1" x14ac:dyDescent="0.2">
      <c r="J295" s="146"/>
    </row>
    <row r="296" spans="10:10" s="121" customFormat="1" x14ac:dyDescent="0.2">
      <c r="J296" s="146"/>
    </row>
    <row r="297" spans="10:10" s="121" customFormat="1" x14ac:dyDescent="0.2">
      <c r="J297" s="146"/>
    </row>
    <row r="298" spans="10:10" s="121" customFormat="1" x14ac:dyDescent="0.2">
      <c r="J298" s="146"/>
    </row>
    <row r="299" spans="10:10" s="121" customFormat="1" x14ac:dyDescent="0.2">
      <c r="J299" s="146"/>
    </row>
    <row r="300" spans="10:10" s="121" customFormat="1" x14ac:dyDescent="0.2">
      <c r="J300" s="146"/>
    </row>
    <row r="301" spans="10:10" s="121" customFormat="1" x14ac:dyDescent="0.2">
      <c r="J301" s="146"/>
    </row>
    <row r="302" spans="10:10" s="121" customFormat="1" x14ac:dyDescent="0.2">
      <c r="J302" s="146"/>
    </row>
    <row r="303" spans="10:10" s="121" customFormat="1" x14ac:dyDescent="0.2">
      <c r="J303" s="146"/>
    </row>
    <row r="304" spans="10:10" s="121" customFormat="1" x14ac:dyDescent="0.2">
      <c r="J304" s="146"/>
    </row>
    <row r="305" spans="10:10" s="121" customFormat="1" x14ac:dyDescent="0.2">
      <c r="J305" s="146"/>
    </row>
    <row r="306" spans="10:10" s="121" customFormat="1" x14ac:dyDescent="0.2">
      <c r="J306" s="146"/>
    </row>
    <row r="307" spans="10:10" s="121" customFormat="1" x14ac:dyDescent="0.2">
      <c r="J307" s="146"/>
    </row>
    <row r="308" spans="10:10" s="121" customFormat="1" x14ac:dyDescent="0.2">
      <c r="J308" s="146"/>
    </row>
    <row r="309" spans="10:10" s="121" customFormat="1" x14ac:dyDescent="0.2">
      <c r="J309" s="146"/>
    </row>
    <row r="310" spans="10:10" s="121" customFormat="1" x14ac:dyDescent="0.2">
      <c r="J310" s="146"/>
    </row>
    <row r="311" spans="10:10" s="121" customFormat="1" x14ac:dyDescent="0.2">
      <c r="J311" s="146"/>
    </row>
    <row r="312" spans="10:10" s="121" customFormat="1" x14ac:dyDescent="0.2">
      <c r="J312" s="146"/>
    </row>
    <row r="313" spans="10:10" s="121" customFormat="1" x14ac:dyDescent="0.2">
      <c r="J313" s="146"/>
    </row>
    <row r="314" spans="10:10" s="121" customFormat="1" x14ac:dyDescent="0.2">
      <c r="J314" s="146"/>
    </row>
    <row r="315" spans="10:10" s="121" customFormat="1" x14ac:dyDescent="0.2">
      <c r="J315" s="146"/>
    </row>
    <row r="316" spans="10:10" s="121" customFormat="1" x14ac:dyDescent="0.2">
      <c r="J316" s="146"/>
    </row>
    <row r="317" spans="10:10" s="121" customFormat="1" x14ac:dyDescent="0.2">
      <c r="J317" s="146"/>
    </row>
    <row r="318" spans="10:10" s="121" customFormat="1" x14ac:dyDescent="0.2">
      <c r="J318" s="146"/>
    </row>
    <row r="319" spans="10:10" s="121" customFormat="1" x14ac:dyDescent="0.2">
      <c r="J319" s="146"/>
    </row>
    <row r="320" spans="10:10" s="121" customFormat="1" x14ac:dyDescent="0.2">
      <c r="J320" s="146"/>
    </row>
    <row r="321" spans="10:10" s="121" customFormat="1" x14ac:dyDescent="0.2">
      <c r="J321" s="146"/>
    </row>
    <row r="322" spans="10:10" s="121" customFormat="1" x14ac:dyDescent="0.2">
      <c r="J322" s="146"/>
    </row>
    <row r="323" spans="10:10" s="121" customFormat="1" x14ac:dyDescent="0.2">
      <c r="J323" s="146"/>
    </row>
    <row r="324" spans="10:10" s="121" customFormat="1" x14ac:dyDescent="0.2">
      <c r="J324" s="146"/>
    </row>
    <row r="325" spans="10:10" s="121" customFormat="1" x14ac:dyDescent="0.2">
      <c r="J325" s="146"/>
    </row>
    <row r="326" spans="10:10" s="121" customFormat="1" x14ac:dyDescent="0.2">
      <c r="J326" s="146"/>
    </row>
    <row r="327" spans="10:10" s="121" customFormat="1" x14ac:dyDescent="0.2">
      <c r="J327" s="146"/>
    </row>
    <row r="328" spans="10:10" s="121" customFormat="1" x14ac:dyDescent="0.2">
      <c r="J328" s="146"/>
    </row>
    <row r="329" spans="10:10" s="121" customFormat="1" x14ac:dyDescent="0.2">
      <c r="J329" s="146"/>
    </row>
    <row r="330" spans="10:10" s="121" customFormat="1" x14ac:dyDescent="0.2">
      <c r="J330" s="146"/>
    </row>
    <row r="331" spans="10:10" s="121" customFormat="1" x14ac:dyDescent="0.2">
      <c r="J331" s="146"/>
    </row>
    <row r="332" spans="10:10" s="121" customFormat="1" x14ac:dyDescent="0.2">
      <c r="J332" s="146"/>
    </row>
    <row r="333" spans="10:10" s="121" customFormat="1" x14ac:dyDescent="0.2">
      <c r="J333" s="146"/>
    </row>
    <row r="334" spans="10:10" s="121" customFormat="1" x14ac:dyDescent="0.2">
      <c r="J334" s="146"/>
    </row>
    <row r="335" spans="10:10" s="121" customFormat="1" x14ac:dyDescent="0.2">
      <c r="J335" s="146"/>
    </row>
    <row r="336" spans="10:10" s="121" customFormat="1" x14ac:dyDescent="0.2">
      <c r="J336" s="146"/>
    </row>
    <row r="337" spans="10:10" s="121" customFormat="1" x14ac:dyDescent="0.2">
      <c r="J337" s="146"/>
    </row>
    <row r="338" spans="10:10" s="121" customFormat="1" x14ac:dyDescent="0.2">
      <c r="J338" s="146"/>
    </row>
    <row r="339" spans="10:10" s="121" customFormat="1" x14ac:dyDescent="0.2">
      <c r="J339" s="146"/>
    </row>
    <row r="340" spans="10:10" s="121" customFormat="1" x14ac:dyDescent="0.2">
      <c r="J340" s="146"/>
    </row>
    <row r="341" spans="10:10" s="121" customFormat="1" x14ac:dyDescent="0.2">
      <c r="J341" s="146"/>
    </row>
    <row r="342" spans="10:10" s="121" customFormat="1" x14ac:dyDescent="0.2">
      <c r="J342" s="146"/>
    </row>
    <row r="343" spans="10:10" s="121" customFormat="1" x14ac:dyDescent="0.2">
      <c r="J343" s="146"/>
    </row>
    <row r="344" spans="10:10" s="121" customFormat="1" x14ac:dyDescent="0.2">
      <c r="J344" s="146"/>
    </row>
    <row r="345" spans="10:10" s="121" customFormat="1" x14ac:dyDescent="0.2">
      <c r="J345" s="146"/>
    </row>
    <row r="346" spans="10:10" s="121" customFormat="1" x14ac:dyDescent="0.2">
      <c r="J346" s="146"/>
    </row>
    <row r="347" spans="10:10" s="121" customFormat="1" x14ac:dyDescent="0.2">
      <c r="J347" s="146"/>
    </row>
    <row r="348" spans="10:10" s="121" customFormat="1" x14ac:dyDescent="0.2">
      <c r="J348" s="146"/>
    </row>
    <row r="349" spans="10:10" s="121" customFormat="1" x14ac:dyDescent="0.2">
      <c r="J349" s="146"/>
    </row>
    <row r="350" spans="10:10" s="121" customFormat="1" x14ac:dyDescent="0.2">
      <c r="J350" s="146"/>
    </row>
    <row r="351" spans="10:10" s="121" customFormat="1" x14ac:dyDescent="0.2">
      <c r="J351" s="146"/>
    </row>
    <row r="352" spans="10:10" s="121" customFormat="1" x14ac:dyDescent="0.2">
      <c r="J352" s="146"/>
    </row>
    <row r="353" spans="10:10" s="121" customFormat="1" x14ac:dyDescent="0.2">
      <c r="J353" s="146"/>
    </row>
    <row r="354" spans="10:10" s="121" customFormat="1" x14ac:dyDescent="0.2">
      <c r="J354" s="146"/>
    </row>
    <row r="355" spans="10:10" s="121" customFormat="1" x14ac:dyDescent="0.2">
      <c r="J355" s="146"/>
    </row>
    <row r="356" spans="10:10" s="121" customFormat="1" x14ac:dyDescent="0.2">
      <c r="J356" s="146"/>
    </row>
    <row r="357" spans="10:10" s="121" customFormat="1" x14ac:dyDescent="0.2">
      <c r="J357" s="146"/>
    </row>
    <row r="358" spans="10:10" s="121" customFormat="1" x14ac:dyDescent="0.2">
      <c r="J358" s="146"/>
    </row>
    <row r="359" spans="10:10" s="121" customFormat="1" x14ac:dyDescent="0.2">
      <c r="J359" s="146"/>
    </row>
    <row r="360" spans="10:10" s="121" customFormat="1" x14ac:dyDescent="0.2">
      <c r="J360" s="146"/>
    </row>
    <row r="361" spans="10:10" s="121" customFormat="1" x14ac:dyDescent="0.2">
      <c r="J361" s="146"/>
    </row>
    <row r="362" spans="10:10" s="121" customFormat="1" x14ac:dyDescent="0.2">
      <c r="J362" s="146"/>
    </row>
    <row r="363" spans="10:10" s="121" customFormat="1" x14ac:dyDescent="0.2">
      <c r="J363" s="146"/>
    </row>
    <row r="364" spans="10:10" s="121" customFormat="1" x14ac:dyDescent="0.2">
      <c r="J364" s="146"/>
    </row>
    <row r="365" spans="10:10" s="121" customFormat="1" x14ac:dyDescent="0.2">
      <c r="J365" s="146"/>
    </row>
    <row r="366" spans="10:10" s="121" customFormat="1" x14ac:dyDescent="0.2">
      <c r="J366" s="146"/>
    </row>
    <row r="367" spans="10:10" s="121" customFormat="1" x14ac:dyDescent="0.2">
      <c r="J367" s="146"/>
    </row>
    <row r="368" spans="10:10" s="121" customFormat="1" x14ac:dyDescent="0.2">
      <c r="J368" s="146"/>
    </row>
    <row r="369" spans="10:10" s="121" customFormat="1" x14ac:dyDescent="0.2">
      <c r="J369" s="146"/>
    </row>
    <row r="370" spans="10:10" s="121" customFormat="1" x14ac:dyDescent="0.2">
      <c r="J370" s="146"/>
    </row>
    <row r="371" spans="10:10" s="121" customFormat="1" x14ac:dyDescent="0.2">
      <c r="J371" s="146"/>
    </row>
    <row r="372" spans="10:10" s="121" customFormat="1" x14ac:dyDescent="0.2">
      <c r="J372" s="146"/>
    </row>
    <row r="373" spans="10:10" s="121" customFormat="1" x14ac:dyDescent="0.2">
      <c r="J373" s="146"/>
    </row>
    <row r="374" spans="10:10" s="121" customFormat="1" x14ac:dyDescent="0.2">
      <c r="J374" s="146"/>
    </row>
    <row r="375" spans="10:10" s="121" customFormat="1" x14ac:dyDescent="0.2">
      <c r="J375" s="146"/>
    </row>
    <row r="376" spans="10:10" s="121" customFormat="1" x14ac:dyDescent="0.2">
      <c r="J376" s="146"/>
    </row>
    <row r="377" spans="10:10" s="121" customFormat="1" x14ac:dyDescent="0.2">
      <c r="J377" s="146"/>
    </row>
    <row r="378" spans="10:10" s="121" customFormat="1" x14ac:dyDescent="0.2">
      <c r="J378" s="146"/>
    </row>
    <row r="379" spans="10:10" s="121" customFormat="1" x14ac:dyDescent="0.2">
      <c r="J379" s="146"/>
    </row>
    <row r="380" spans="10:10" s="121" customFormat="1" x14ac:dyDescent="0.2">
      <c r="J380" s="146"/>
    </row>
    <row r="381" spans="10:10" s="121" customFormat="1" x14ac:dyDescent="0.2">
      <c r="J381" s="146"/>
    </row>
    <row r="382" spans="10:10" s="121" customFormat="1" x14ac:dyDescent="0.2">
      <c r="J382" s="146"/>
    </row>
    <row r="383" spans="10:10" s="121" customFormat="1" x14ac:dyDescent="0.2">
      <c r="J383" s="146"/>
    </row>
    <row r="384" spans="10:10" s="121" customFormat="1" x14ac:dyDescent="0.2">
      <c r="J384" s="146"/>
    </row>
    <row r="385" spans="10:10" s="121" customFormat="1" x14ac:dyDescent="0.2">
      <c r="J385" s="146"/>
    </row>
    <row r="386" spans="10:10" s="121" customFormat="1" x14ac:dyDescent="0.2">
      <c r="J386" s="146"/>
    </row>
    <row r="387" spans="10:10" s="121" customFormat="1" x14ac:dyDescent="0.2">
      <c r="J387" s="146"/>
    </row>
    <row r="388" spans="10:10" s="121" customFormat="1" x14ac:dyDescent="0.2">
      <c r="J388" s="146"/>
    </row>
    <row r="389" spans="10:10" s="121" customFormat="1" x14ac:dyDescent="0.2">
      <c r="J389" s="146"/>
    </row>
    <row r="390" spans="10:10" s="121" customFormat="1" x14ac:dyDescent="0.2">
      <c r="J390" s="146"/>
    </row>
    <row r="391" spans="10:10" s="121" customFormat="1" x14ac:dyDescent="0.2">
      <c r="J391" s="146"/>
    </row>
    <row r="392" spans="10:10" s="121" customFormat="1" x14ac:dyDescent="0.2">
      <c r="J392" s="146"/>
    </row>
    <row r="393" spans="10:10" s="121" customFormat="1" x14ac:dyDescent="0.2">
      <c r="J393" s="146"/>
    </row>
    <row r="394" spans="10:10" s="121" customFormat="1" x14ac:dyDescent="0.2">
      <c r="J394" s="146"/>
    </row>
    <row r="395" spans="10:10" s="121" customFormat="1" x14ac:dyDescent="0.2">
      <c r="J395" s="146"/>
    </row>
    <row r="396" spans="10:10" s="121" customFormat="1" x14ac:dyDescent="0.2">
      <c r="J396" s="146"/>
    </row>
    <row r="397" spans="10:10" s="121" customFormat="1" x14ac:dyDescent="0.2">
      <c r="J397" s="146"/>
    </row>
    <row r="398" spans="10:10" s="121" customFormat="1" x14ac:dyDescent="0.2">
      <c r="J398" s="146"/>
    </row>
    <row r="399" spans="10:10" s="121" customFormat="1" x14ac:dyDescent="0.2">
      <c r="J399" s="146"/>
    </row>
    <row r="400" spans="10:10" s="121" customFormat="1" x14ac:dyDescent="0.2">
      <c r="J400" s="146"/>
    </row>
    <row r="401" spans="10:10" s="121" customFormat="1" x14ac:dyDescent="0.2">
      <c r="J401" s="146"/>
    </row>
    <row r="402" spans="10:10" s="121" customFormat="1" x14ac:dyDescent="0.2">
      <c r="J402" s="146"/>
    </row>
    <row r="403" spans="10:10" s="121" customFormat="1" x14ac:dyDescent="0.2">
      <c r="J403" s="146"/>
    </row>
    <row r="404" spans="10:10" s="121" customFormat="1" x14ac:dyDescent="0.2">
      <c r="J404" s="146"/>
    </row>
    <row r="405" spans="10:10" s="121" customFormat="1" x14ac:dyDescent="0.2">
      <c r="J405" s="146"/>
    </row>
    <row r="406" spans="10:10" s="121" customFormat="1" x14ac:dyDescent="0.2">
      <c r="J406" s="146"/>
    </row>
    <row r="407" spans="10:10" s="121" customFormat="1" x14ac:dyDescent="0.2">
      <c r="J407" s="146"/>
    </row>
    <row r="408" spans="10:10" s="121" customFormat="1" x14ac:dyDescent="0.2">
      <c r="J408" s="146"/>
    </row>
    <row r="409" spans="10:10" s="121" customFormat="1" x14ac:dyDescent="0.2">
      <c r="J409" s="146"/>
    </row>
    <row r="410" spans="10:10" s="121" customFormat="1" x14ac:dyDescent="0.2">
      <c r="J410" s="146"/>
    </row>
    <row r="411" spans="10:10" s="121" customFormat="1" x14ac:dyDescent="0.2">
      <c r="J411" s="146"/>
    </row>
    <row r="412" spans="10:10" s="121" customFormat="1" x14ac:dyDescent="0.2">
      <c r="J412" s="146"/>
    </row>
    <row r="413" spans="10:10" s="121" customFormat="1" x14ac:dyDescent="0.2">
      <c r="J413" s="146"/>
    </row>
    <row r="414" spans="10:10" s="121" customFormat="1" x14ac:dyDescent="0.2">
      <c r="J414" s="146"/>
    </row>
    <row r="415" spans="10:10" s="121" customFormat="1" x14ac:dyDescent="0.2">
      <c r="J415" s="146"/>
    </row>
    <row r="416" spans="10:10" s="121" customFormat="1" x14ac:dyDescent="0.2">
      <c r="J416" s="146"/>
    </row>
    <row r="417" spans="10:10" s="121" customFormat="1" x14ac:dyDescent="0.2">
      <c r="J417" s="146"/>
    </row>
    <row r="418" spans="10:10" s="121" customFormat="1" x14ac:dyDescent="0.2">
      <c r="J418" s="146"/>
    </row>
    <row r="419" spans="10:10" s="121" customFormat="1" x14ac:dyDescent="0.2">
      <c r="J419" s="146"/>
    </row>
    <row r="420" spans="10:10" s="121" customFormat="1" x14ac:dyDescent="0.2">
      <c r="J420" s="146"/>
    </row>
    <row r="421" spans="10:10" s="121" customFormat="1" x14ac:dyDescent="0.2">
      <c r="J421" s="146"/>
    </row>
    <row r="422" spans="10:10" s="121" customFormat="1" x14ac:dyDescent="0.2">
      <c r="J422" s="146"/>
    </row>
    <row r="423" spans="10:10" s="121" customFormat="1" x14ac:dyDescent="0.2">
      <c r="J423" s="146"/>
    </row>
    <row r="424" spans="10:10" s="121" customFormat="1" x14ac:dyDescent="0.2">
      <c r="J424" s="146"/>
    </row>
    <row r="425" spans="10:10" s="121" customFormat="1" x14ac:dyDescent="0.2">
      <c r="J425" s="146"/>
    </row>
    <row r="426" spans="10:10" s="121" customFormat="1" x14ac:dyDescent="0.2">
      <c r="J426" s="146"/>
    </row>
    <row r="427" spans="10:10" s="121" customFormat="1" x14ac:dyDescent="0.2">
      <c r="J427" s="146"/>
    </row>
    <row r="428" spans="10:10" s="121" customFormat="1" x14ac:dyDescent="0.2">
      <c r="J428" s="146"/>
    </row>
    <row r="429" spans="10:10" s="121" customFormat="1" x14ac:dyDescent="0.2">
      <c r="J429" s="146"/>
    </row>
    <row r="430" spans="10:10" s="121" customFormat="1" x14ac:dyDescent="0.2">
      <c r="J430" s="146"/>
    </row>
    <row r="431" spans="10:10" s="121" customFormat="1" x14ac:dyDescent="0.2">
      <c r="J431" s="146"/>
    </row>
    <row r="432" spans="10:10" s="121" customFormat="1" x14ac:dyDescent="0.2">
      <c r="J432" s="146"/>
    </row>
    <row r="433" spans="10:10" s="121" customFormat="1" x14ac:dyDescent="0.2">
      <c r="J433" s="146"/>
    </row>
    <row r="434" spans="10:10" s="121" customFormat="1" x14ac:dyDescent="0.2">
      <c r="J434" s="146"/>
    </row>
    <row r="435" spans="10:10" s="121" customFormat="1" x14ac:dyDescent="0.2">
      <c r="J435" s="146"/>
    </row>
    <row r="436" spans="10:10" s="121" customFormat="1" x14ac:dyDescent="0.2">
      <c r="J436" s="146"/>
    </row>
    <row r="437" spans="10:10" s="121" customFormat="1" x14ac:dyDescent="0.2">
      <c r="J437" s="146"/>
    </row>
    <row r="438" spans="10:10" s="121" customFormat="1" x14ac:dyDescent="0.2">
      <c r="J438" s="146"/>
    </row>
    <row r="439" spans="10:10" s="121" customFormat="1" x14ac:dyDescent="0.2">
      <c r="J439" s="146"/>
    </row>
    <row r="440" spans="10:10" s="121" customFormat="1" x14ac:dyDescent="0.2">
      <c r="J440" s="146"/>
    </row>
    <row r="441" spans="10:10" s="121" customFormat="1" x14ac:dyDescent="0.2">
      <c r="J441" s="146"/>
    </row>
    <row r="442" spans="10:10" s="121" customFormat="1" x14ac:dyDescent="0.2">
      <c r="J442" s="146"/>
    </row>
    <row r="443" spans="10:10" s="121" customFormat="1" x14ac:dyDescent="0.2">
      <c r="J443" s="146"/>
    </row>
    <row r="444" spans="10:10" s="121" customFormat="1" x14ac:dyDescent="0.2">
      <c r="J444" s="146"/>
    </row>
    <row r="445" spans="10:10" s="121" customFormat="1" x14ac:dyDescent="0.2">
      <c r="J445" s="146"/>
    </row>
    <row r="446" spans="10:10" s="121" customFormat="1" x14ac:dyDescent="0.2">
      <c r="J446" s="146"/>
    </row>
    <row r="447" spans="10:10" s="121" customFormat="1" x14ac:dyDescent="0.2">
      <c r="J447" s="146"/>
    </row>
    <row r="448" spans="10:10" s="121" customFormat="1" x14ac:dyDescent="0.2">
      <c r="J448" s="146"/>
    </row>
    <row r="449" spans="10:10" s="121" customFormat="1" x14ac:dyDescent="0.2">
      <c r="J449" s="146"/>
    </row>
    <row r="450" spans="10:10" s="121" customFormat="1" x14ac:dyDescent="0.2">
      <c r="J450" s="146"/>
    </row>
    <row r="451" spans="10:10" s="121" customFormat="1" x14ac:dyDescent="0.2">
      <c r="J451" s="146"/>
    </row>
    <row r="452" spans="10:10" s="121" customFormat="1" x14ac:dyDescent="0.2">
      <c r="J452" s="146"/>
    </row>
    <row r="453" spans="10:10" s="121" customFormat="1" x14ac:dyDescent="0.2">
      <c r="J453" s="146"/>
    </row>
    <row r="454" spans="10:10" s="121" customFormat="1" x14ac:dyDescent="0.2">
      <c r="J454" s="146"/>
    </row>
    <row r="455" spans="10:10" s="121" customFormat="1" x14ac:dyDescent="0.2">
      <c r="J455" s="146"/>
    </row>
    <row r="456" spans="10:10" s="121" customFormat="1" x14ac:dyDescent="0.2">
      <c r="J456" s="146"/>
    </row>
    <row r="457" spans="10:10" s="121" customFormat="1" x14ac:dyDescent="0.2">
      <c r="J457" s="146"/>
    </row>
    <row r="458" spans="10:10" s="121" customFormat="1" x14ac:dyDescent="0.2">
      <c r="J458" s="146"/>
    </row>
    <row r="459" spans="10:10" s="121" customFormat="1" x14ac:dyDescent="0.2">
      <c r="J459" s="146"/>
    </row>
    <row r="460" spans="10:10" s="121" customFormat="1" x14ac:dyDescent="0.2">
      <c r="J460" s="146"/>
    </row>
    <row r="461" spans="10:10" s="121" customFormat="1" x14ac:dyDescent="0.2">
      <c r="J461" s="146"/>
    </row>
    <row r="462" spans="10:10" s="121" customFormat="1" x14ac:dyDescent="0.2">
      <c r="J462" s="146"/>
    </row>
    <row r="463" spans="10:10" s="121" customFormat="1" x14ac:dyDescent="0.2">
      <c r="J463" s="146"/>
    </row>
    <row r="464" spans="10:10" s="121" customFormat="1" x14ac:dyDescent="0.2">
      <c r="J464" s="146"/>
    </row>
    <row r="465" spans="10:10" s="121" customFormat="1" x14ac:dyDescent="0.2">
      <c r="J465" s="146"/>
    </row>
    <row r="466" spans="10:10" s="121" customFormat="1" x14ac:dyDescent="0.2">
      <c r="J466" s="146"/>
    </row>
    <row r="467" spans="10:10" s="121" customFormat="1" x14ac:dyDescent="0.2">
      <c r="J467" s="146"/>
    </row>
    <row r="468" spans="10:10" s="121" customFormat="1" x14ac:dyDescent="0.2">
      <c r="J468" s="146"/>
    </row>
    <row r="469" spans="10:10" s="121" customFormat="1" x14ac:dyDescent="0.2">
      <c r="J469" s="146"/>
    </row>
    <row r="470" spans="10:10" s="121" customFormat="1" x14ac:dyDescent="0.2">
      <c r="J470" s="146"/>
    </row>
    <row r="471" spans="10:10" s="121" customFormat="1" x14ac:dyDescent="0.2">
      <c r="J471" s="146"/>
    </row>
    <row r="472" spans="10:10" s="121" customFormat="1" x14ac:dyDescent="0.2">
      <c r="J472" s="146"/>
    </row>
    <row r="473" spans="10:10" s="121" customFormat="1" x14ac:dyDescent="0.2">
      <c r="J473" s="146"/>
    </row>
    <row r="474" spans="10:10" s="121" customFormat="1" x14ac:dyDescent="0.2">
      <c r="J474" s="146"/>
    </row>
    <row r="475" spans="10:10" s="121" customFormat="1" x14ac:dyDescent="0.2">
      <c r="J475" s="146"/>
    </row>
    <row r="476" spans="10:10" s="121" customFormat="1" x14ac:dyDescent="0.2">
      <c r="J476" s="146"/>
    </row>
    <row r="477" spans="10:10" s="121" customFormat="1" x14ac:dyDescent="0.2">
      <c r="J477" s="146"/>
    </row>
    <row r="478" spans="10:10" s="121" customFormat="1" x14ac:dyDescent="0.2">
      <c r="J478" s="146"/>
    </row>
    <row r="479" spans="10:10" s="121" customFormat="1" x14ac:dyDescent="0.2">
      <c r="J479" s="146"/>
    </row>
    <row r="480" spans="10:10" s="121" customFormat="1" x14ac:dyDescent="0.2">
      <c r="J480" s="146"/>
    </row>
    <row r="481" spans="10:10" s="121" customFormat="1" x14ac:dyDescent="0.2">
      <c r="J481" s="146"/>
    </row>
    <row r="482" spans="10:10" s="121" customFormat="1" x14ac:dyDescent="0.2">
      <c r="J482" s="146"/>
    </row>
    <row r="483" spans="10:10" s="121" customFormat="1" x14ac:dyDescent="0.2">
      <c r="J483" s="146"/>
    </row>
    <row r="484" spans="10:10" s="121" customFormat="1" x14ac:dyDescent="0.2">
      <c r="J484" s="146"/>
    </row>
    <row r="485" spans="10:10" s="121" customFormat="1" x14ac:dyDescent="0.2">
      <c r="J485" s="146"/>
    </row>
    <row r="486" spans="10:10" s="121" customFormat="1" x14ac:dyDescent="0.2">
      <c r="J486" s="146"/>
    </row>
    <row r="487" spans="10:10" s="121" customFormat="1" x14ac:dyDescent="0.2">
      <c r="J487" s="146"/>
    </row>
    <row r="488" spans="10:10" s="121" customFormat="1" x14ac:dyDescent="0.2">
      <c r="J488" s="146"/>
    </row>
    <row r="489" spans="10:10" s="121" customFormat="1" x14ac:dyDescent="0.2">
      <c r="J489" s="146"/>
    </row>
    <row r="490" spans="10:10" s="121" customFormat="1" x14ac:dyDescent="0.2">
      <c r="J490" s="146"/>
    </row>
    <row r="491" spans="10:10" s="121" customFormat="1" x14ac:dyDescent="0.2">
      <c r="J491" s="146"/>
    </row>
    <row r="492" spans="10:10" s="121" customFormat="1" x14ac:dyDescent="0.2">
      <c r="J492" s="146"/>
    </row>
    <row r="493" spans="10:10" s="121" customFormat="1" x14ac:dyDescent="0.2">
      <c r="J493" s="146"/>
    </row>
    <row r="494" spans="10:10" s="121" customFormat="1" x14ac:dyDescent="0.2">
      <c r="J494" s="146"/>
    </row>
    <row r="495" spans="10:10" s="121" customFormat="1" x14ac:dyDescent="0.2">
      <c r="J495" s="146"/>
    </row>
    <row r="496" spans="10:10" s="121" customFormat="1" x14ac:dyDescent="0.2">
      <c r="J496" s="146"/>
    </row>
    <row r="497" spans="10:10" s="121" customFormat="1" x14ac:dyDescent="0.2">
      <c r="J497" s="146"/>
    </row>
    <row r="498" spans="10:10" s="121" customFormat="1" x14ac:dyDescent="0.2">
      <c r="J498" s="146"/>
    </row>
    <row r="499" spans="10:10" s="121" customFormat="1" x14ac:dyDescent="0.2">
      <c r="J499" s="146"/>
    </row>
    <row r="500" spans="10:10" s="121" customFormat="1" x14ac:dyDescent="0.2">
      <c r="J500" s="146"/>
    </row>
    <row r="501" spans="10:10" s="121" customFormat="1" x14ac:dyDescent="0.2">
      <c r="J501" s="146"/>
    </row>
    <row r="502" spans="10:10" s="121" customFormat="1" x14ac:dyDescent="0.2">
      <c r="J502" s="146"/>
    </row>
    <row r="503" spans="10:10" s="121" customFormat="1" x14ac:dyDescent="0.2">
      <c r="J503" s="146"/>
    </row>
    <row r="504" spans="10:10" s="121" customFormat="1" x14ac:dyDescent="0.2">
      <c r="J504" s="146"/>
    </row>
    <row r="505" spans="10:10" s="121" customFormat="1" x14ac:dyDescent="0.2">
      <c r="J505" s="146"/>
    </row>
    <row r="506" spans="10:10" s="121" customFormat="1" x14ac:dyDescent="0.2">
      <c r="J506" s="146"/>
    </row>
    <row r="507" spans="10:10" s="121" customFormat="1" x14ac:dyDescent="0.2">
      <c r="J507" s="146"/>
    </row>
  </sheetData>
  <sheetProtection algorithmName="SHA-512" hashValue="rxBSTe93txidga84dq3C0P+CBjcfrKMx05RmM+LNM5R0ACpKhbt4wkdvqXfPxE3WjtEQkjBEoqm0hfYc5OyFbg==" saltValue="OdcC1H+hNF7fsXVSspcfaA==" spinCount="100000" sheet="1" objects="1" scenarios="1" formatCells="0" formatColumns="0" formatRows="0"/>
  <dataConsolidate/>
  <mergeCells count="33">
    <mergeCell ref="B2:I2"/>
    <mergeCell ref="B4:J4"/>
    <mergeCell ref="B6:J6"/>
    <mergeCell ref="B9:J9"/>
    <mergeCell ref="B42:C42"/>
    <mergeCell ref="B46:C46"/>
    <mergeCell ref="B86:J86"/>
    <mergeCell ref="B12:J12"/>
    <mergeCell ref="B16:J16"/>
    <mergeCell ref="B18:J18"/>
    <mergeCell ref="B20:J20"/>
    <mergeCell ref="B22:J22"/>
    <mergeCell ref="E46:G46"/>
    <mergeCell ref="B25:J25"/>
    <mergeCell ref="B26:J26"/>
    <mergeCell ref="B27:J27"/>
    <mergeCell ref="B28:J28"/>
    <mergeCell ref="B30:J30"/>
    <mergeCell ref="B58:C62"/>
    <mergeCell ref="B29:J29"/>
    <mergeCell ref="B116:C116"/>
    <mergeCell ref="B127:C127"/>
    <mergeCell ref="B122:C122"/>
    <mergeCell ref="C123:D123"/>
    <mergeCell ref="B88:J88"/>
    <mergeCell ref="B91:J91"/>
    <mergeCell ref="B92:J92"/>
    <mergeCell ref="B112:C112"/>
    <mergeCell ref="B114:C114"/>
    <mergeCell ref="B101:C101"/>
    <mergeCell ref="B105:C105"/>
    <mergeCell ref="C108:D108"/>
    <mergeCell ref="B98:C98"/>
  </mergeCells>
  <dataValidations count="2">
    <dataValidation type="list" allowBlank="1" showInputMessage="1" showErrorMessage="1" sqref="E46">
      <formula1>tonnage_range_textile</formula1>
    </dataValidation>
    <dataValidation type="list" allowBlank="1" showInputMessage="1" showErrorMessage="1" sqref="C54">
      <formula1>vapour_pressure</formula1>
    </dataValidation>
  </dataValidations>
  <hyperlinks>
    <hyperlink ref="B83" location="'PT6-textile'!A1" display="Go to the top of the page"/>
    <hyperlink ref="B131" location="'PT6-textile'!A1" display="Go to the top of the page"/>
    <hyperlink ref="B9:J9" location="'PT6-textile'!Emission_estimation_for_the_formulation_process_of_additives_used_in_the_textile_production__ESD_§_3.3.2.4.1" display="Emission estimation for the formulation process of additives used in the textile production (ESD § 3.3.2.4.1)"/>
    <hyperlink ref="B12:J12" location="'PT6-textile'!Emission_scenario_for_calculating_the_release_from_chemicals_used_in_textile_processing___ESD_§_3.3.2.4.2" display="Emission scenario for calculating the release from chemicals used in textile processing  (ESD § 3.3.2.4.2)"/>
  </hyperlinks>
  <pageMargins left="0.7" right="0.7" top="0.75" bottom="0.75" header="0.3" footer="0.3"/>
  <pageSetup paperSize="9" orientation="portrait" r:id="rId1"/>
  <ignoredErrors>
    <ignoredError sqref="G124"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475"/>
  <sheetViews>
    <sheetView zoomScale="87" zoomScaleNormal="87" workbookViewId="0"/>
  </sheetViews>
  <sheetFormatPr defaultColWidth="8.75" defaultRowHeight="12.75" x14ac:dyDescent="0.2"/>
  <cols>
    <col min="1" max="1" width="1.625" style="121" customWidth="1"/>
    <col min="2" max="2" width="30.625" style="122" customWidth="1"/>
    <col min="3" max="3" width="25.625" style="122" customWidth="1"/>
    <col min="4" max="4" width="1.625" style="122" customWidth="1"/>
    <col min="5" max="5" width="15.625" style="122" customWidth="1"/>
    <col min="6" max="6" width="1.625" style="121" customWidth="1"/>
    <col min="7" max="7" width="30.625" style="122" customWidth="1"/>
    <col min="8" max="9" width="10.625" style="122" customWidth="1"/>
    <col min="10" max="10" width="55.625" style="147" customWidth="1"/>
    <col min="11" max="16" width="8.75" style="122"/>
    <col min="17" max="18" width="8.75" style="121"/>
    <col min="19" max="19" width="37.25" style="121" customWidth="1"/>
    <col min="20" max="65" width="8.75" style="121"/>
    <col min="66" max="16384" width="8.75" style="122"/>
  </cols>
  <sheetData>
    <row r="1" spans="1:101" x14ac:dyDescent="0.2">
      <c r="B1" s="121"/>
      <c r="C1" s="121"/>
      <c r="D1" s="121"/>
      <c r="E1" s="121"/>
      <c r="G1" s="121"/>
      <c r="H1" s="121"/>
      <c r="I1" s="121"/>
      <c r="J1" s="146"/>
      <c r="K1" s="121"/>
      <c r="L1" s="121"/>
      <c r="M1" s="121"/>
      <c r="N1" s="121"/>
      <c r="O1" s="121"/>
      <c r="P1" s="121"/>
    </row>
    <row r="2" spans="1:101" ht="43.5" customHeight="1" x14ac:dyDescent="0.2">
      <c r="B2" s="442" t="s">
        <v>23</v>
      </c>
      <c r="C2" s="442"/>
      <c r="D2" s="442"/>
      <c r="E2" s="442"/>
      <c r="F2" s="442"/>
      <c r="G2" s="442"/>
      <c r="H2" s="442"/>
      <c r="I2" s="442"/>
      <c r="J2" s="146"/>
      <c r="K2" s="121"/>
      <c r="L2" s="121"/>
      <c r="M2" s="121"/>
      <c r="N2" s="121"/>
      <c r="O2" s="121"/>
      <c r="P2" s="121"/>
    </row>
    <row r="3" spans="1:101" x14ac:dyDescent="0.2">
      <c r="B3" s="121"/>
      <c r="C3" s="121"/>
      <c r="D3" s="121"/>
      <c r="E3" s="121"/>
      <c r="G3" s="121"/>
      <c r="H3" s="121"/>
      <c r="I3" s="121"/>
      <c r="J3" s="146"/>
      <c r="K3" s="121"/>
      <c r="L3" s="121"/>
      <c r="M3" s="121"/>
      <c r="N3" s="121"/>
      <c r="O3" s="121"/>
      <c r="P3" s="121"/>
    </row>
    <row r="4" spans="1:101" ht="18" x14ac:dyDescent="0.2">
      <c r="B4" s="443" t="s">
        <v>642</v>
      </c>
      <c r="C4" s="443"/>
      <c r="D4" s="443"/>
      <c r="E4" s="443"/>
      <c r="F4" s="443"/>
      <c r="G4" s="443"/>
      <c r="H4" s="443"/>
      <c r="I4" s="443"/>
      <c r="J4" s="443"/>
      <c r="K4" s="121"/>
      <c r="L4" s="121"/>
      <c r="M4" s="121"/>
      <c r="N4" s="121"/>
      <c r="O4" s="121"/>
      <c r="P4" s="121"/>
    </row>
    <row r="5" spans="1:101" s="121" customFormat="1" ht="15.75" thickBot="1" x14ac:dyDescent="0.25">
      <c r="A5" s="119"/>
      <c r="B5" s="21"/>
      <c r="C5" s="21"/>
      <c r="D5" s="21"/>
      <c r="E5" s="21"/>
      <c r="F5" s="21"/>
      <c r="G5" s="21"/>
      <c r="H5" s="21"/>
      <c r="I5" s="21"/>
      <c r="J5" s="21"/>
      <c r="K5" s="21"/>
      <c r="L5" s="21"/>
      <c r="M5" s="21"/>
      <c r="N5" s="119"/>
      <c r="O5" s="119"/>
      <c r="P5" s="119"/>
      <c r="Q5" s="119"/>
    </row>
    <row r="6" spans="1:101" ht="13.5" customHeight="1" x14ac:dyDescent="0.2">
      <c r="A6" s="119"/>
      <c r="B6" s="450" t="s">
        <v>24</v>
      </c>
      <c r="C6" s="451"/>
      <c r="D6" s="451"/>
      <c r="E6" s="451"/>
      <c r="F6" s="451"/>
      <c r="G6" s="451"/>
      <c r="H6" s="451"/>
      <c r="I6" s="451"/>
      <c r="J6" s="452"/>
      <c r="K6" s="153"/>
      <c r="L6" s="119"/>
      <c r="M6" s="119"/>
      <c r="N6" s="121"/>
      <c r="O6" s="121"/>
      <c r="P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row>
    <row r="7" spans="1:101" ht="13.5" customHeight="1" x14ac:dyDescent="0.2">
      <c r="A7" s="119"/>
      <c r="B7" s="164"/>
      <c r="C7" s="165"/>
      <c r="D7" s="165"/>
      <c r="E7" s="165"/>
      <c r="F7" s="165"/>
      <c r="G7" s="165"/>
      <c r="H7" s="165"/>
      <c r="I7" s="165"/>
      <c r="J7" s="166"/>
      <c r="K7" s="153"/>
      <c r="L7" s="119"/>
      <c r="M7" s="119"/>
      <c r="N7" s="121"/>
      <c r="O7" s="121"/>
      <c r="P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row>
    <row r="8" spans="1:101" ht="13.5" customHeight="1" x14ac:dyDescent="0.2">
      <c r="A8" s="119"/>
      <c r="B8" s="164" t="s">
        <v>391</v>
      </c>
      <c r="C8" s="165"/>
      <c r="D8" s="165"/>
      <c r="E8" s="165"/>
      <c r="F8" s="165"/>
      <c r="G8" s="165"/>
      <c r="H8" s="165"/>
      <c r="I8" s="165"/>
      <c r="J8" s="166"/>
      <c r="K8" s="153"/>
      <c r="L8" s="119"/>
      <c r="M8" s="119"/>
      <c r="N8" s="121"/>
      <c r="O8" s="121"/>
      <c r="P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row>
    <row r="9" spans="1:101" ht="13.5" customHeight="1" x14ac:dyDescent="0.2">
      <c r="A9" s="119"/>
      <c r="B9" s="464" t="s">
        <v>618</v>
      </c>
      <c r="C9" s="465"/>
      <c r="D9" s="465"/>
      <c r="E9" s="465"/>
      <c r="F9" s="465"/>
      <c r="G9" s="465"/>
      <c r="H9" s="465"/>
      <c r="I9" s="465"/>
      <c r="J9" s="466"/>
      <c r="K9" s="153"/>
      <c r="L9" s="119"/>
      <c r="M9" s="119"/>
      <c r="N9" s="121"/>
      <c r="O9" s="121"/>
      <c r="P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121"/>
      <c r="CO9" s="121"/>
      <c r="CP9" s="121"/>
      <c r="CQ9" s="121"/>
      <c r="CR9" s="121"/>
      <c r="CS9" s="121"/>
      <c r="CT9" s="121"/>
      <c r="CU9" s="121"/>
      <c r="CV9" s="121"/>
      <c r="CW9" s="121"/>
    </row>
    <row r="10" spans="1:101" ht="13.5" customHeight="1" x14ac:dyDescent="0.2">
      <c r="A10" s="119"/>
      <c r="B10" s="164"/>
      <c r="C10" s="165"/>
      <c r="D10" s="165"/>
      <c r="E10" s="165"/>
      <c r="F10" s="165"/>
      <c r="G10" s="165"/>
      <c r="H10" s="165"/>
      <c r="I10" s="165"/>
      <c r="J10" s="166"/>
      <c r="K10" s="153"/>
      <c r="L10" s="119"/>
      <c r="M10" s="119"/>
      <c r="N10" s="121"/>
      <c r="O10" s="121"/>
      <c r="P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1"/>
      <c r="CN10" s="121"/>
      <c r="CO10" s="121"/>
      <c r="CP10" s="121"/>
      <c r="CQ10" s="121"/>
      <c r="CR10" s="121"/>
      <c r="CS10" s="121"/>
      <c r="CT10" s="121"/>
      <c r="CU10" s="121"/>
      <c r="CV10" s="121"/>
      <c r="CW10" s="121"/>
    </row>
    <row r="11" spans="1:101" ht="13.5" customHeight="1" x14ac:dyDescent="0.2">
      <c r="A11" s="119"/>
      <c r="B11" s="164" t="s">
        <v>381</v>
      </c>
      <c r="C11" s="165"/>
      <c r="D11" s="165"/>
      <c r="E11" s="165"/>
      <c r="F11" s="165"/>
      <c r="G11" s="165"/>
      <c r="H11" s="165"/>
      <c r="I11" s="165"/>
      <c r="J11" s="166"/>
      <c r="K11" s="153"/>
      <c r="L11" s="119"/>
      <c r="M11" s="119"/>
      <c r="N11" s="121"/>
      <c r="O11" s="121"/>
      <c r="P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row>
    <row r="12" spans="1:101" ht="14.25" x14ac:dyDescent="0.2">
      <c r="A12" s="119"/>
      <c r="B12" s="474" t="s">
        <v>643</v>
      </c>
      <c r="C12" s="462"/>
      <c r="D12" s="462"/>
      <c r="E12" s="462"/>
      <c r="F12" s="462"/>
      <c r="G12" s="462"/>
      <c r="H12" s="462"/>
      <c r="I12" s="462"/>
      <c r="J12" s="463"/>
      <c r="K12" s="119"/>
      <c r="L12" s="119"/>
      <c r="M12" s="119"/>
      <c r="N12" s="121"/>
      <c r="O12" s="121"/>
      <c r="P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row>
    <row r="13" spans="1:101" s="349" customFormat="1" ht="14.25" x14ac:dyDescent="0.2">
      <c r="A13" s="347"/>
      <c r="B13" s="474" t="s">
        <v>644</v>
      </c>
      <c r="C13" s="462"/>
      <c r="D13" s="462"/>
      <c r="E13" s="462"/>
      <c r="F13" s="462"/>
      <c r="G13" s="462"/>
      <c r="H13" s="462"/>
      <c r="I13" s="462"/>
      <c r="J13" s="463"/>
      <c r="K13" s="347"/>
      <c r="L13" s="347"/>
      <c r="M13" s="347"/>
      <c r="N13" s="348"/>
      <c r="O13" s="348"/>
      <c r="P13" s="348"/>
      <c r="Q13" s="348"/>
      <c r="R13" s="348"/>
      <c r="S13" s="348"/>
      <c r="T13" s="348"/>
      <c r="U13" s="348"/>
      <c r="V13" s="348"/>
      <c r="W13" s="348"/>
      <c r="X13" s="348"/>
      <c r="Y13" s="348"/>
      <c r="Z13" s="348"/>
      <c r="AA13" s="348"/>
      <c r="AB13" s="348"/>
      <c r="AC13" s="348"/>
      <c r="AD13" s="348"/>
      <c r="AE13" s="348"/>
      <c r="AF13" s="348"/>
      <c r="AG13" s="348"/>
      <c r="AH13" s="348"/>
      <c r="AI13" s="348"/>
      <c r="AJ13" s="348"/>
      <c r="AK13" s="348"/>
      <c r="AL13" s="348"/>
      <c r="AM13" s="348"/>
      <c r="AN13" s="348"/>
      <c r="AO13" s="348"/>
      <c r="AP13" s="348"/>
      <c r="AQ13" s="348"/>
      <c r="AR13" s="348"/>
      <c r="AS13" s="348"/>
      <c r="AT13" s="348"/>
      <c r="AU13" s="348"/>
      <c r="AV13" s="348"/>
      <c r="AW13" s="348"/>
      <c r="AX13" s="348"/>
      <c r="AY13" s="348"/>
      <c r="AZ13" s="348"/>
      <c r="BA13" s="348"/>
      <c r="BB13" s="348"/>
      <c r="BC13" s="348"/>
      <c r="BD13" s="348"/>
      <c r="BE13" s="348"/>
      <c r="BF13" s="348"/>
      <c r="BG13" s="348"/>
      <c r="BH13" s="348"/>
      <c r="BI13" s="348"/>
      <c r="BJ13" s="348"/>
      <c r="BK13" s="348"/>
      <c r="BL13" s="348"/>
      <c r="BM13" s="348"/>
      <c r="BN13" s="348"/>
      <c r="BO13" s="348"/>
      <c r="BP13" s="348"/>
      <c r="BQ13" s="348"/>
      <c r="BR13" s="348"/>
      <c r="BS13" s="348"/>
      <c r="BT13" s="348"/>
      <c r="BU13" s="348"/>
      <c r="BV13" s="348"/>
      <c r="BW13" s="348"/>
      <c r="BX13" s="348"/>
      <c r="BY13" s="348"/>
      <c r="BZ13" s="348"/>
      <c r="CA13" s="348"/>
      <c r="CB13" s="348"/>
      <c r="CC13" s="348"/>
      <c r="CD13" s="348"/>
      <c r="CE13" s="348"/>
      <c r="CF13" s="348"/>
      <c r="CG13" s="348"/>
      <c r="CH13" s="348"/>
      <c r="CI13" s="348"/>
      <c r="CJ13" s="348"/>
      <c r="CK13" s="348"/>
      <c r="CL13" s="348"/>
      <c r="CM13" s="348"/>
      <c r="CN13" s="348"/>
      <c r="CO13" s="348"/>
      <c r="CP13" s="348"/>
      <c r="CQ13" s="348"/>
      <c r="CR13" s="348"/>
      <c r="CS13" s="348"/>
      <c r="CT13" s="348"/>
      <c r="CU13" s="348"/>
      <c r="CV13" s="348"/>
      <c r="CW13" s="348"/>
    </row>
    <row r="14" spans="1:101" ht="12.4" customHeight="1" thickBot="1" x14ac:dyDescent="0.25">
      <c r="A14" s="119"/>
      <c r="B14" s="92"/>
      <c r="C14" s="93"/>
      <c r="D14" s="93"/>
      <c r="E14" s="93"/>
      <c r="F14" s="93"/>
      <c r="G14" s="93"/>
      <c r="H14" s="93"/>
      <c r="I14" s="93"/>
      <c r="J14" s="95"/>
      <c r="K14" s="119"/>
      <c r="L14" s="119"/>
      <c r="M14" s="119"/>
      <c r="N14" s="121"/>
      <c r="O14" s="121"/>
      <c r="P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row>
    <row r="15" spans="1:101" s="151" customFormat="1" x14ac:dyDescent="0.2">
      <c r="A15" s="130"/>
      <c r="B15" s="155"/>
      <c r="C15" s="155"/>
      <c r="D15" s="155"/>
      <c r="E15" s="155"/>
      <c r="F15" s="155"/>
      <c r="G15" s="155"/>
      <c r="H15" s="155"/>
      <c r="I15" s="156"/>
      <c r="J15" s="130"/>
      <c r="K15" s="130"/>
      <c r="L15" s="130"/>
      <c r="M15" s="130"/>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c r="BT15" s="128"/>
      <c r="BU15" s="128"/>
      <c r="BV15" s="128"/>
      <c r="BW15" s="128"/>
      <c r="BX15" s="128"/>
      <c r="BY15" s="128"/>
      <c r="BZ15" s="128"/>
      <c r="CA15" s="128"/>
      <c r="CB15" s="128"/>
      <c r="CC15" s="128"/>
      <c r="CD15" s="128"/>
      <c r="CE15" s="128"/>
      <c r="CF15" s="128"/>
      <c r="CG15" s="128"/>
      <c r="CH15" s="128"/>
      <c r="CI15" s="128"/>
      <c r="CJ15" s="128"/>
      <c r="CK15" s="128"/>
      <c r="CL15" s="128"/>
      <c r="CM15" s="128"/>
      <c r="CN15" s="128"/>
      <c r="CO15" s="128"/>
      <c r="CP15" s="128"/>
      <c r="CQ15" s="128"/>
      <c r="CR15" s="128"/>
      <c r="CS15" s="128"/>
      <c r="CT15" s="128"/>
      <c r="CU15" s="128"/>
      <c r="CV15" s="128"/>
      <c r="CW15" s="128"/>
    </row>
    <row r="16" spans="1:101" s="127" customFormat="1" ht="14.25" x14ac:dyDescent="0.2">
      <c r="A16" s="123"/>
      <c r="B16" s="124" t="s">
        <v>19</v>
      </c>
      <c r="C16" s="125"/>
      <c r="D16" s="125"/>
      <c r="E16" s="125"/>
      <c r="F16" s="125"/>
      <c r="G16" s="123"/>
      <c r="H16" s="123"/>
      <c r="I16" s="123"/>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row>
    <row r="17" spans="2:10" s="121" customFormat="1" ht="30" customHeight="1" x14ac:dyDescent="0.2">
      <c r="B17" s="429" t="s">
        <v>423</v>
      </c>
      <c r="C17" s="430"/>
      <c r="D17" s="430"/>
      <c r="E17" s="430"/>
      <c r="F17" s="430"/>
      <c r="G17" s="430"/>
      <c r="H17" s="430"/>
      <c r="I17" s="430"/>
      <c r="J17" s="430"/>
    </row>
    <row r="18" spans="2:10" s="121" customFormat="1" ht="3" customHeight="1" x14ac:dyDescent="0.2">
      <c r="B18" s="246"/>
      <c r="C18" s="246"/>
      <c r="D18" s="246"/>
      <c r="E18" s="246"/>
      <c r="F18" s="246"/>
      <c r="G18" s="246"/>
      <c r="H18" s="246"/>
      <c r="I18" s="246"/>
      <c r="J18" s="246"/>
    </row>
    <row r="19" spans="2:10" s="121" customFormat="1" ht="14.25" x14ac:dyDescent="0.2">
      <c r="B19" s="429" t="s">
        <v>483</v>
      </c>
      <c r="C19" s="430"/>
      <c r="D19" s="430"/>
      <c r="E19" s="430"/>
      <c r="F19" s="430"/>
      <c r="G19" s="430"/>
      <c r="H19" s="430"/>
      <c r="I19" s="430"/>
      <c r="J19" s="430"/>
    </row>
    <row r="20" spans="2:10" s="121" customFormat="1" ht="14.25" x14ac:dyDescent="0.2">
      <c r="B20" s="245"/>
      <c r="C20" s="246"/>
      <c r="D20" s="246"/>
      <c r="E20" s="246"/>
      <c r="F20" s="246"/>
      <c r="G20" s="246"/>
      <c r="H20" s="246"/>
      <c r="I20" s="246"/>
      <c r="J20" s="246"/>
    </row>
    <row r="21" spans="2:10" s="121" customFormat="1" ht="14.25" x14ac:dyDescent="0.2">
      <c r="B21" s="435" t="s">
        <v>391</v>
      </c>
      <c r="C21" s="435"/>
      <c r="D21" s="435"/>
      <c r="E21" s="435"/>
      <c r="F21" s="435"/>
      <c r="G21" s="435"/>
      <c r="H21" s="435"/>
      <c r="I21" s="435"/>
      <c r="J21" s="435"/>
    </row>
    <row r="22" spans="2:10" s="121" customFormat="1" ht="14.25" x14ac:dyDescent="0.2">
      <c r="B22" s="246"/>
      <c r="C22" s="246"/>
      <c r="D22" s="246"/>
      <c r="E22" s="246"/>
      <c r="F22" s="246"/>
      <c r="G22" s="246"/>
      <c r="H22" s="246"/>
      <c r="I22" s="246"/>
      <c r="J22" s="246"/>
    </row>
    <row r="23" spans="2:10" s="121" customFormat="1" ht="18" x14ac:dyDescent="0.2">
      <c r="B23" s="437" t="s">
        <v>618</v>
      </c>
      <c r="C23" s="437"/>
      <c r="D23" s="437"/>
      <c r="E23" s="437"/>
      <c r="F23" s="437"/>
      <c r="G23" s="437"/>
      <c r="H23" s="437"/>
      <c r="I23" s="437"/>
      <c r="J23" s="437"/>
    </row>
    <row r="24" spans="2:10" s="121" customFormat="1" ht="3" customHeight="1" x14ac:dyDescent="0.2">
      <c r="B24" s="246"/>
      <c r="C24" s="246"/>
      <c r="D24" s="246"/>
      <c r="E24" s="246"/>
      <c r="F24" s="246"/>
      <c r="G24" s="246"/>
      <c r="H24" s="246"/>
      <c r="I24" s="246"/>
      <c r="J24" s="246"/>
    </row>
    <row r="25" spans="2:10" s="121" customFormat="1" ht="14.25" x14ac:dyDescent="0.2">
      <c r="B25" s="129" t="s">
        <v>8</v>
      </c>
      <c r="C25" s="246"/>
      <c r="D25" s="246"/>
      <c r="E25" s="246"/>
      <c r="F25" s="246"/>
      <c r="G25" s="246"/>
      <c r="H25" s="246"/>
      <c r="I25" s="246"/>
      <c r="J25" s="246"/>
    </row>
    <row r="26" spans="2:10" s="121" customFormat="1" ht="14.25" customHeight="1" x14ac:dyDescent="0.2">
      <c r="B26" s="434" t="s">
        <v>148</v>
      </c>
      <c r="C26" s="434"/>
      <c r="D26" s="434"/>
      <c r="E26" s="434"/>
      <c r="F26" s="434"/>
      <c r="G26" s="434"/>
      <c r="H26" s="434"/>
      <c r="I26" s="434"/>
      <c r="J26" s="434"/>
    </row>
    <row r="27" spans="2:10" s="121" customFormat="1" x14ac:dyDescent="0.2">
      <c r="B27" s="434" t="s">
        <v>471</v>
      </c>
      <c r="C27" s="434"/>
      <c r="D27" s="434"/>
      <c r="E27" s="434"/>
      <c r="F27" s="434"/>
      <c r="G27" s="434"/>
      <c r="H27" s="434"/>
      <c r="I27" s="434"/>
      <c r="J27" s="434"/>
    </row>
    <row r="28" spans="2:10" s="121" customFormat="1" x14ac:dyDescent="0.2">
      <c r="B28" s="434" t="s">
        <v>725</v>
      </c>
      <c r="C28" s="434"/>
      <c r="D28" s="434"/>
      <c r="E28" s="434"/>
      <c r="F28" s="434"/>
      <c r="G28" s="434"/>
      <c r="H28" s="434"/>
      <c r="I28" s="434"/>
      <c r="J28" s="434"/>
    </row>
    <row r="29" spans="2:10" s="121" customFormat="1" ht="14.25" customHeight="1" x14ac:dyDescent="0.2">
      <c r="B29" s="434" t="s">
        <v>550</v>
      </c>
      <c r="C29" s="434"/>
      <c r="D29" s="434"/>
      <c r="E29" s="434"/>
      <c r="F29" s="434"/>
      <c r="G29" s="434"/>
      <c r="H29" s="434"/>
      <c r="I29" s="434"/>
      <c r="J29" s="434"/>
    </row>
    <row r="30" spans="2:10" s="121" customFormat="1" x14ac:dyDescent="0.2">
      <c r="B30" s="434" t="s">
        <v>549</v>
      </c>
      <c r="C30" s="434"/>
      <c r="D30" s="434"/>
      <c r="E30" s="434"/>
      <c r="F30" s="434"/>
      <c r="G30" s="434"/>
      <c r="H30" s="434"/>
      <c r="I30" s="434"/>
      <c r="J30" s="434"/>
    </row>
    <row r="31" spans="2:10" s="121" customFormat="1" ht="3" customHeight="1" x14ac:dyDescent="0.2">
      <c r="B31" s="246"/>
      <c r="C31" s="246"/>
      <c r="D31" s="246"/>
      <c r="E31" s="246"/>
      <c r="F31" s="246"/>
      <c r="G31" s="246"/>
      <c r="H31" s="246"/>
      <c r="I31" s="246"/>
      <c r="J31" s="246"/>
    </row>
    <row r="32" spans="2:10" s="121" customFormat="1" ht="15" x14ac:dyDescent="0.2">
      <c r="B32" s="131" t="s">
        <v>0</v>
      </c>
      <c r="C32" s="132"/>
      <c r="D32" s="132"/>
      <c r="E32" s="132"/>
      <c r="F32" s="132"/>
      <c r="G32" s="132"/>
      <c r="H32" s="132"/>
      <c r="I32" s="132"/>
      <c r="J32" s="133"/>
    </row>
    <row r="33" spans="2:10" s="121" customFormat="1" ht="3" customHeight="1" x14ac:dyDescent="0.2">
      <c r="B33" s="134"/>
      <c r="C33" s="134"/>
      <c r="D33" s="134"/>
      <c r="E33" s="134"/>
      <c r="F33" s="134"/>
      <c r="G33" s="134"/>
      <c r="H33" s="134"/>
      <c r="I33" s="134"/>
      <c r="J33" s="243"/>
    </row>
    <row r="34" spans="2:10" s="121" customFormat="1" ht="15" x14ac:dyDescent="0.2">
      <c r="B34" s="136" t="s">
        <v>2</v>
      </c>
      <c r="C34" s="136"/>
      <c r="D34" s="136"/>
      <c r="E34" s="137" t="s">
        <v>4</v>
      </c>
      <c r="F34" s="138"/>
      <c r="G34" s="138" t="s">
        <v>6</v>
      </c>
      <c r="H34" s="138" t="s">
        <v>3</v>
      </c>
      <c r="I34" s="138" t="s">
        <v>9</v>
      </c>
      <c r="J34" s="137" t="s">
        <v>15</v>
      </c>
    </row>
    <row r="35" spans="2:10" s="121" customFormat="1" ht="3" customHeight="1" x14ac:dyDescent="0.2">
      <c r="B35" s="134"/>
      <c r="C35" s="134"/>
      <c r="D35" s="134"/>
      <c r="E35" s="134"/>
      <c r="F35" s="134"/>
      <c r="G35" s="134"/>
      <c r="H35" s="134"/>
      <c r="I35" s="134"/>
      <c r="J35" s="243"/>
    </row>
    <row r="36" spans="2:10" s="121" customFormat="1" ht="15" x14ac:dyDescent="0.2">
      <c r="B36" s="134" t="s">
        <v>30</v>
      </c>
      <c r="C36" s="134"/>
      <c r="D36" s="134"/>
      <c r="E36" s="243" t="s">
        <v>31</v>
      </c>
      <c r="F36" s="134"/>
      <c r="G36" s="141"/>
      <c r="H36" s="139" t="s">
        <v>134</v>
      </c>
      <c r="I36" s="139" t="s">
        <v>18</v>
      </c>
      <c r="J36" s="243"/>
    </row>
    <row r="37" spans="2:10" s="121" customFormat="1" ht="3" customHeight="1" x14ac:dyDescent="0.2">
      <c r="B37" s="134"/>
      <c r="C37" s="134"/>
      <c r="D37" s="134"/>
      <c r="E37" s="243"/>
      <c r="F37" s="134"/>
      <c r="G37" s="139"/>
      <c r="H37" s="139"/>
      <c r="I37" s="139"/>
      <c r="J37" s="243"/>
    </row>
    <row r="38" spans="2:10" s="121" customFormat="1" x14ac:dyDescent="0.2">
      <c r="B38" s="134" t="s">
        <v>32</v>
      </c>
      <c r="C38" s="134"/>
      <c r="D38" s="134"/>
      <c r="E38" s="249" t="s">
        <v>33</v>
      </c>
      <c r="F38" s="134"/>
      <c r="G38" s="139">
        <v>0.1</v>
      </c>
      <c r="H38" s="139" t="s">
        <v>5</v>
      </c>
      <c r="I38" s="148" t="str">
        <f>IF(Freg_formulation=0.1, "D", "S")</f>
        <v>D</v>
      </c>
      <c r="J38" s="243"/>
    </row>
    <row r="39" spans="2:10" s="121" customFormat="1" ht="3" customHeight="1" x14ac:dyDescent="0.2">
      <c r="B39" s="134"/>
      <c r="C39" s="134"/>
      <c r="D39" s="134"/>
      <c r="E39" s="249"/>
      <c r="F39" s="134"/>
      <c r="G39" s="139"/>
      <c r="H39" s="139"/>
      <c r="I39" s="139"/>
      <c r="J39" s="243"/>
    </row>
    <row r="40" spans="2:10" s="121" customFormat="1" ht="15" x14ac:dyDescent="0.2">
      <c r="B40" s="134" t="s">
        <v>139</v>
      </c>
      <c r="C40" s="134"/>
      <c r="D40" s="134"/>
      <c r="E40" s="249" t="s">
        <v>140</v>
      </c>
      <c r="F40" s="134"/>
      <c r="G40" s="227" t="str">
        <f>IF(ISNUMBER(TONNAGEformulation), TONNAGEformulation*Freg_formulation,"??")</f>
        <v>??</v>
      </c>
      <c r="H40" s="139" t="s">
        <v>134</v>
      </c>
      <c r="I40" s="139" t="s">
        <v>7</v>
      </c>
      <c r="J40" s="243" t="s">
        <v>357</v>
      </c>
    </row>
    <row r="41" spans="2:10" s="121" customFormat="1" ht="3" customHeight="1" x14ac:dyDescent="0.2">
      <c r="B41" s="134"/>
      <c r="C41" s="134"/>
      <c r="D41" s="134"/>
      <c r="E41" s="243"/>
      <c r="F41" s="134"/>
      <c r="G41" s="139"/>
      <c r="H41" s="139"/>
      <c r="I41" s="139"/>
      <c r="J41" s="243"/>
    </row>
    <row r="42" spans="2:10" s="121" customFormat="1" ht="27.75" customHeight="1" x14ac:dyDescent="0.2">
      <c r="B42" s="431" t="s">
        <v>359</v>
      </c>
      <c r="C42" s="431"/>
      <c r="D42" s="134"/>
      <c r="E42" s="243" t="s">
        <v>358</v>
      </c>
      <c r="F42" s="134"/>
      <c r="G42" s="141"/>
      <c r="H42" s="139" t="s">
        <v>5</v>
      </c>
      <c r="I42" s="139" t="s">
        <v>18</v>
      </c>
      <c r="J42" s="353" t="s">
        <v>573</v>
      </c>
    </row>
    <row r="43" spans="2:10" s="121" customFormat="1" ht="3" customHeight="1" x14ac:dyDescent="0.2">
      <c r="B43" s="134"/>
      <c r="C43" s="134"/>
      <c r="D43" s="134"/>
      <c r="E43" s="243"/>
      <c r="F43" s="134"/>
      <c r="G43" s="139"/>
      <c r="H43" s="139"/>
      <c r="I43" s="139"/>
      <c r="J43" s="243"/>
    </row>
    <row r="44" spans="2:10" s="121" customFormat="1" ht="25.5" x14ac:dyDescent="0.2">
      <c r="B44" s="134" t="s">
        <v>360</v>
      </c>
      <c r="C44" s="134"/>
      <c r="D44" s="134"/>
      <c r="E44" s="243" t="s">
        <v>361</v>
      </c>
      <c r="F44" s="134"/>
      <c r="G44" s="227" t="str">
        <f>IF(AND(ISNUMBER(TONNAGEreg_formulation), ISNUMBER(Fchem_form_formulation)),TONNAGEreg_formulation/Fchem_form_formulation,"??")</f>
        <v>??</v>
      </c>
      <c r="H44" s="139" t="s">
        <v>134</v>
      </c>
      <c r="I44" s="139" t="s">
        <v>7</v>
      </c>
      <c r="J44" s="248" t="s">
        <v>567</v>
      </c>
    </row>
    <row r="45" spans="2:10" s="121" customFormat="1" ht="3" customHeight="1" thickBot="1" x14ac:dyDescent="0.25">
      <c r="B45" s="134"/>
      <c r="C45" s="134"/>
      <c r="D45" s="134"/>
      <c r="E45" s="243"/>
      <c r="F45" s="134"/>
      <c r="G45" s="139"/>
      <c r="H45" s="139"/>
      <c r="I45" s="139"/>
      <c r="J45" s="248"/>
    </row>
    <row r="46" spans="2:10" s="121" customFormat="1" ht="51" customHeight="1" thickTop="1" thickBot="1" x14ac:dyDescent="0.25">
      <c r="B46" s="431" t="s">
        <v>831</v>
      </c>
      <c r="C46" s="431"/>
      <c r="D46" s="134"/>
      <c r="E46" s="444" t="s">
        <v>481</v>
      </c>
      <c r="F46" s="444"/>
      <c r="G46" s="444"/>
      <c r="H46" s="444"/>
      <c r="I46" s="444"/>
      <c r="J46" s="248"/>
    </row>
    <row r="47" spans="2:10" s="121" customFormat="1" ht="3" customHeight="1" thickTop="1" x14ac:dyDescent="0.2">
      <c r="B47" s="243"/>
      <c r="C47" s="248"/>
      <c r="D47" s="134"/>
      <c r="E47" s="243"/>
      <c r="F47" s="134"/>
      <c r="G47" s="139"/>
      <c r="H47" s="139"/>
      <c r="I47" s="139"/>
      <c r="J47" s="248"/>
    </row>
    <row r="48" spans="2:10" s="121" customFormat="1" x14ac:dyDescent="0.2">
      <c r="B48" s="134" t="s">
        <v>377</v>
      </c>
      <c r="C48" s="134"/>
      <c r="D48" s="134"/>
      <c r="E48" s="243" t="s">
        <v>165</v>
      </c>
      <c r="F48" s="134"/>
      <c r="G48" s="36" t="str">
        <f>INDEX('Pick-lists &amp; Defaults'!C158:C171,MATCH(Select_tonnage_range,tonnage_range_leather,0))</f>
        <v>??</v>
      </c>
      <c r="H48" s="139" t="s">
        <v>5</v>
      </c>
      <c r="I48" s="139" t="s">
        <v>237</v>
      </c>
      <c r="J48" s="243" t="s">
        <v>625</v>
      </c>
    </row>
    <row r="49" spans="2:10" s="121" customFormat="1" ht="3" customHeight="1" x14ac:dyDescent="0.2">
      <c r="B49" s="134"/>
      <c r="C49" s="134"/>
      <c r="D49" s="134"/>
      <c r="E49" s="243"/>
      <c r="F49" s="134"/>
      <c r="G49" s="139"/>
      <c r="H49" s="139"/>
      <c r="I49" s="139"/>
      <c r="J49" s="243"/>
    </row>
    <row r="50" spans="2:10" s="121" customFormat="1" ht="25.5" customHeight="1" x14ac:dyDescent="0.2">
      <c r="B50" s="134" t="s">
        <v>164</v>
      </c>
      <c r="C50" s="134"/>
      <c r="D50" s="134"/>
      <c r="E50" s="243" t="s">
        <v>378</v>
      </c>
      <c r="F50" s="134"/>
      <c r="G50" s="274" t="str">
        <f>INDEX('Pick-lists &amp; Defaults'!E158:E171,MATCH(Select_tonnage_range,tonnage_range_leather,0))</f>
        <v>??</v>
      </c>
      <c r="H50" s="139" t="s">
        <v>651</v>
      </c>
      <c r="I50" s="148" t="s">
        <v>237</v>
      </c>
      <c r="J50" s="243" t="s">
        <v>625</v>
      </c>
    </row>
    <row r="51" spans="2:10" s="121" customFormat="1" ht="3" customHeight="1" x14ac:dyDescent="0.2">
      <c r="B51" s="134"/>
      <c r="C51" s="134"/>
      <c r="D51" s="134"/>
      <c r="E51" s="243"/>
      <c r="F51" s="134"/>
      <c r="G51" s="139"/>
      <c r="H51" s="139"/>
      <c r="I51" s="139"/>
      <c r="J51" s="243"/>
    </row>
    <row r="52" spans="2:10" s="121" customFormat="1" x14ac:dyDescent="0.2">
      <c r="B52" s="248" t="s">
        <v>379</v>
      </c>
      <c r="C52" s="134"/>
      <c r="D52" s="134"/>
      <c r="E52" s="243" t="s">
        <v>97</v>
      </c>
      <c r="F52" s="134"/>
      <c r="G52" s="358" t="str">
        <f>IF(ISNUMBER(TONNAGEregform_formulation),IF(TONNAGEregform_formulation&lt;1000,'Pick-lists &amp; Defaults'!C15,'Pick-lists &amp; Defaults'!C16),"??")</f>
        <v>??</v>
      </c>
      <c r="H52" s="139" t="s">
        <v>5</v>
      </c>
      <c r="I52" s="139" t="s">
        <v>237</v>
      </c>
      <c r="J52" s="248" t="s">
        <v>570</v>
      </c>
    </row>
    <row r="53" spans="2:10" s="121" customFormat="1" ht="3" customHeight="1" x14ac:dyDescent="0.2">
      <c r="B53" s="314"/>
      <c r="C53" s="134"/>
      <c r="D53" s="134"/>
      <c r="E53" s="312"/>
      <c r="F53" s="134"/>
      <c r="G53" s="134"/>
      <c r="H53" s="139"/>
      <c r="I53" s="139"/>
      <c r="J53" s="312"/>
    </row>
    <row r="54" spans="2:10" s="121" customFormat="1" ht="38.25" customHeight="1" x14ac:dyDescent="0.2">
      <c r="B54" s="427" t="s">
        <v>384</v>
      </c>
      <c r="C54" s="427"/>
      <c r="D54" s="134"/>
      <c r="E54" s="312" t="s">
        <v>385</v>
      </c>
      <c r="F54" s="134"/>
      <c r="G54" s="141"/>
      <c r="H54" s="139" t="s">
        <v>5</v>
      </c>
      <c r="I54" s="139" t="s">
        <v>18</v>
      </c>
      <c r="J54" s="312"/>
    </row>
    <row r="55" spans="2:10" s="121" customFormat="1" x14ac:dyDescent="0.2">
      <c r="B55" s="134"/>
      <c r="C55" s="134"/>
      <c r="D55" s="134"/>
      <c r="E55" s="134"/>
      <c r="F55" s="134"/>
      <c r="G55" s="134"/>
      <c r="H55" s="134"/>
      <c r="I55" s="134"/>
      <c r="J55" s="243"/>
    </row>
    <row r="56" spans="2:10" s="121" customFormat="1" ht="15" x14ac:dyDescent="0.2">
      <c r="B56" s="131" t="s">
        <v>1</v>
      </c>
      <c r="C56" s="132"/>
      <c r="D56" s="132"/>
      <c r="E56" s="132"/>
      <c r="F56" s="132"/>
      <c r="G56" s="132"/>
      <c r="H56" s="132"/>
      <c r="I56" s="132"/>
      <c r="J56" s="133"/>
    </row>
    <row r="57" spans="2:10" s="121" customFormat="1" ht="3" customHeight="1" x14ac:dyDescent="0.2">
      <c r="B57" s="134"/>
      <c r="C57" s="134"/>
      <c r="D57" s="134"/>
      <c r="E57" s="134"/>
      <c r="F57" s="134"/>
      <c r="G57" s="134"/>
      <c r="H57" s="134"/>
      <c r="I57" s="134"/>
      <c r="J57" s="243"/>
    </row>
    <row r="58" spans="2:10" s="121" customFormat="1" ht="15" x14ac:dyDescent="0.2">
      <c r="B58" s="136" t="s">
        <v>2</v>
      </c>
      <c r="C58" s="136"/>
      <c r="D58" s="136"/>
      <c r="E58" s="137" t="s">
        <v>4</v>
      </c>
      <c r="F58" s="138"/>
      <c r="G58" s="138" t="s">
        <v>6</v>
      </c>
      <c r="H58" s="138" t="s">
        <v>3</v>
      </c>
      <c r="I58" s="138" t="s">
        <v>9</v>
      </c>
      <c r="J58" s="137" t="s">
        <v>15</v>
      </c>
    </row>
    <row r="59" spans="2:10" s="121" customFormat="1" ht="3" customHeight="1" x14ac:dyDescent="0.2">
      <c r="B59" s="136"/>
      <c r="C59" s="136"/>
      <c r="D59" s="136"/>
      <c r="E59" s="137"/>
      <c r="F59" s="138"/>
      <c r="G59" s="138"/>
      <c r="H59" s="138"/>
      <c r="I59" s="138"/>
      <c r="J59" s="137"/>
    </row>
    <row r="60" spans="2:10" s="121" customFormat="1" ht="15" customHeight="1" x14ac:dyDescent="0.2">
      <c r="B60" s="161" t="s">
        <v>57</v>
      </c>
      <c r="C60" s="86"/>
      <c r="D60" s="134"/>
      <c r="E60" s="134" t="s">
        <v>44</v>
      </c>
      <c r="F60" s="134"/>
      <c r="G60" s="149" t="str">
        <f>IF(AND(ISNUMBER(TONNAGEreg_formulation),ISNUMBER(Fmainsource_formulation),ISNUMBER(Fwater_formulation),ISNUMBER(Temission_formulation)),TONNAGEreg_formulation*1000*Fmainsource_formulation*Fwater_formulation/Temission_formulation,"??")</f>
        <v>??</v>
      </c>
      <c r="H60" s="139" t="s">
        <v>16</v>
      </c>
      <c r="I60" s="139" t="s">
        <v>7</v>
      </c>
      <c r="J60" s="244" t="s">
        <v>411</v>
      </c>
    </row>
    <row r="61" spans="2:10" s="121" customFormat="1" ht="3" customHeight="1" x14ac:dyDescent="0.2">
      <c r="B61" s="161"/>
      <c r="C61" s="86"/>
      <c r="D61" s="134"/>
      <c r="E61" s="134"/>
      <c r="F61" s="134"/>
      <c r="G61" s="134"/>
      <c r="H61" s="139"/>
      <c r="I61" s="139"/>
      <c r="J61" s="313"/>
    </row>
    <row r="62" spans="2:10" s="121" customFormat="1" ht="27.75" x14ac:dyDescent="0.2">
      <c r="B62" s="161" t="s">
        <v>386</v>
      </c>
      <c r="C62" s="86"/>
      <c r="D62" s="134"/>
      <c r="E62" s="134" t="s">
        <v>387</v>
      </c>
      <c r="F62" s="134"/>
      <c r="G62" s="149" t="str">
        <f>IF(AND(ISNUMBER(TONNAGEreg_formulation),ISNUMBER(Fmainsource_formulation),ISNUMBER(Fwater_ref),ISNUMBER(Temission_formulation)),TONNAGEreg_formulation*1000*Fmainsource_formulation*Fwater_ref/Temission_formulation,"??")</f>
        <v>??</v>
      </c>
      <c r="H62" s="139" t="s">
        <v>16</v>
      </c>
      <c r="I62" s="139" t="s">
        <v>7</v>
      </c>
      <c r="J62" s="313" t="s">
        <v>545</v>
      </c>
    </row>
    <row r="63" spans="2:10" s="121" customFormat="1" ht="15" customHeight="1" x14ac:dyDescent="0.2">
      <c r="B63" s="161"/>
      <c r="C63" s="86"/>
      <c r="D63" s="134"/>
      <c r="E63" s="134"/>
      <c r="F63" s="134"/>
      <c r="G63" s="134"/>
      <c r="H63" s="139"/>
      <c r="I63" s="139"/>
      <c r="J63" s="313"/>
    </row>
    <row r="64" spans="2:10" s="121" customFormat="1" x14ac:dyDescent="0.2">
      <c r="B64" s="143" t="s">
        <v>10</v>
      </c>
      <c r="J64" s="146"/>
    </row>
    <row r="65" spans="2:10" s="121" customFormat="1" x14ac:dyDescent="0.2">
      <c r="J65" s="146"/>
    </row>
    <row r="66" spans="2:10" s="121" customFormat="1" x14ac:dyDescent="0.2">
      <c r="B66" s="255" t="s">
        <v>422</v>
      </c>
      <c r="J66" s="146"/>
    </row>
    <row r="67" spans="2:10" s="121" customFormat="1" x14ac:dyDescent="0.2">
      <c r="B67" s="257"/>
      <c r="J67" s="146"/>
    </row>
    <row r="68" spans="2:10" s="121" customFormat="1" ht="14.25" x14ac:dyDescent="0.2">
      <c r="B68" s="246"/>
      <c r="C68" s="246"/>
      <c r="D68" s="246"/>
      <c r="E68" s="246"/>
      <c r="F68" s="246"/>
      <c r="G68" s="246"/>
      <c r="H68" s="246"/>
      <c r="I68" s="246"/>
      <c r="J68" s="246"/>
    </row>
    <row r="69" spans="2:10" s="121" customFormat="1" ht="14.25" x14ac:dyDescent="0.2">
      <c r="B69" s="435" t="s">
        <v>381</v>
      </c>
      <c r="C69" s="436"/>
      <c r="D69" s="436"/>
      <c r="E69" s="436"/>
      <c r="F69" s="436"/>
      <c r="G69" s="436"/>
      <c r="H69" s="436"/>
      <c r="I69" s="436"/>
      <c r="J69" s="436"/>
    </row>
    <row r="70" spans="2:10" s="121" customFormat="1" ht="14.25" x14ac:dyDescent="0.2">
      <c r="B70" s="246"/>
      <c r="C70" s="246"/>
      <c r="D70" s="246"/>
      <c r="E70" s="246"/>
      <c r="F70" s="246"/>
      <c r="G70" s="246"/>
      <c r="H70" s="246"/>
      <c r="I70" s="246"/>
      <c r="J70" s="246"/>
    </row>
    <row r="71" spans="2:10" s="121" customFormat="1" ht="14.25" x14ac:dyDescent="0.2">
      <c r="B71" s="432" t="s">
        <v>382</v>
      </c>
      <c r="C71" s="433"/>
      <c r="D71" s="433"/>
      <c r="E71" s="433"/>
      <c r="F71" s="433"/>
      <c r="G71" s="433"/>
      <c r="H71" s="433"/>
      <c r="I71" s="433"/>
      <c r="J71" s="433"/>
    </row>
    <row r="72" spans="2:10" s="121" customFormat="1" ht="14.25" x14ac:dyDescent="0.2">
      <c r="B72" s="246"/>
      <c r="C72" s="246"/>
      <c r="D72" s="246"/>
      <c r="E72" s="246"/>
      <c r="F72" s="246"/>
      <c r="G72" s="246"/>
      <c r="H72" s="246"/>
      <c r="I72" s="246"/>
      <c r="J72" s="246"/>
    </row>
    <row r="73" spans="2:10" s="121" customFormat="1" ht="18" x14ac:dyDescent="0.2">
      <c r="B73" s="437" t="s">
        <v>643</v>
      </c>
      <c r="C73" s="437"/>
      <c r="D73" s="437"/>
      <c r="E73" s="437"/>
      <c r="F73" s="437"/>
      <c r="G73" s="437"/>
      <c r="H73" s="437"/>
      <c r="I73" s="437"/>
      <c r="J73" s="437"/>
    </row>
    <row r="74" spans="2:10" s="121" customFormat="1" ht="3" customHeight="1" x14ac:dyDescent="0.2">
      <c r="B74" s="246"/>
      <c r="C74" s="246"/>
      <c r="D74" s="246"/>
      <c r="E74" s="246"/>
      <c r="F74" s="246"/>
      <c r="G74" s="246"/>
      <c r="H74" s="246"/>
      <c r="I74" s="246"/>
      <c r="J74" s="246"/>
    </row>
    <row r="75" spans="2:10" s="121" customFormat="1" ht="14.25" x14ac:dyDescent="0.2">
      <c r="B75" s="129" t="s">
        <v>8</v>
      </c>
      <c r="C75" s="246"/>
      <c r="D75" s="246"/>
      <c r="E75" s="246"/>
      <c r="F75" s="246"/>
      <c r="G75" s="246"/>
      <c r="H75" s="246"/>
      <c r="I75" s="246"/>
      <c r="J75" s="246"/>
    </row>
    <row r="76" spans="2:10" s="121" customFormat="1" ht="14.25" customHeight="1" x14ac:dyDescent="0.2">
      <c r="B76" s="434" t="s">
        <v>148</v>
      </c>
      <c r="C76" s="434"/>
      <c r="D76" s="434"/>
      <c r="E76" s="434"/>
      <c r="F76" s="434"/>
      <c r="G76" s="434"/>
      <c r="H76" s="434"/>
      <c r="I76" s="434"/>
      <c r="J76" s="434"/>
    </row>
    <row r="77" spans="2:10" s="348" customFormat="1" ht="14.25" customHeight="1" x14ac:dyDescent="0.2">
      <c r="B77" s="434" t="s">
        <v>635</v>
      </c>
      <c r="C77" s="434"/>
      <c r="D77" s="434"/>
      <c r="E77" s="434"/>
      <c r="F77" s="434"/>
      <c r="G77" s="434"/>
      <c r="H77" s="434"/>
      <c r="I77" s="434"/>
      <c r="J77" s="434"/>
    </row>
    <row r="78" spans="2:10" s="348" customFormat="1" ht="14.25" customHeight="1" x14ac:dyDescent="0.2">
      <c r="B78" s="434" t="s">
        <v>832</v>
      </c>
      <c r="C78" s="434"/>
      <c r="D78" s="434"/>
      <c r="E78" s="434"/>
      <c r="F78" s="434"/>
      <c r="G78" s="434"/>
      <c r="H78" s="434"/>
      <c r="I78" s="434"/>
      <c r="J78" s="434"/>
    </row>
    <row r="79" spans="2:10" s="348" customFormat="1" ht="14.25" customHeight="1" x14ac:dyDescent="0.2">
      <c r="B79" s="434" t="s">
        <v>636</v>
      </c>
      <c r="C79" s="434"/>
      <c r="D79" s="434"/>
      <c r="E79" s="434"/>
      <c r="F79" s="434"/>
      <c r="G79" s="434"/>
      <c r="H79" s="434"/>
      <c r="I79" s="434"/>
      <c r="J79" s="434"/>
    </row>
    <row r="80" spans="2:10" s="121" customFormat="1" ht="14.25" customHeight="1" x14ac:dyDescent="0.2">
      <c r="B80" s="434" t="s">
        <v>637</v>
      </c>
      <c r="C80" s="434"/>
      <c r="D80" s="434"/>
      <c r="E80" s="434"/>
      <c r="F80" s="434"/>
      <c r="G80" s="434"/>
      <c r="H80" s="434"/>
      <c r="I80" s="434"/>
      <c r="J80" s="434"/>
    </row>
    <row r="81" spans="2:10" s="121" customFormat="1" ht="3" customHeight="1" x14ac:dyDescent="0.2">
      <c r="B81" s="246"/>
      <c r="C81" s="246"/>
      <c r="D81" s="246"/>
      <c r="E81" s="246"/>
      <c r="F81" s="246"/>
      <c r="G81" s="246"/>
      <c r="H81" s="246"/>
      <c r="I81" s="246"/>
      <c r="J81" s="246"/>
    </row>
    <row r="82" spans="2:10" s="121" customFormat="1" ht="15" x14ac:dyDescent="0.2">
      <c r="B82" s="131" t="s">
        <v>0</v>
      </c>
      <c r="C82" s="132"/>
      <c r="D82" s="132"/>
      <c r="E82" s="132"/>
      <c r="F82" s="132"/>
      <c r="G82" s="132"/>
      <c r="H82" s="132"/>
      <c r="I82" s="132"/>
      <c r="J82" s="133"/>
    </row>
    <row r="83" spans="2:10" s="121" customFormat="1" ht="3" customHeight="1" x14ac:dyDescent="0.2">
      <c r="B83" s="134"/>
      <c r="C83" s="134"/>
      <c r="D83" s="134"/>
      <c r="E83" s="134"/>
      <c r="F83" s="134"/>
      <c r="G83" s="134"/>
      <c r="H83" s="134"/>
      <c r="I83" s="134"/>
      <c r="J83" s="243"/>
    </row>
    <row r="84" spans="2:10" s="121" customFormat="1" ht="15" x14ac:dyDescent="0.2">
      <c r="B84" s="136" t="s">
        <v>2</v>
      </c>
      <c r="C84" s="136"/>
      <c r="D84" s="136"/>
      <c r="E84" s="137" t="s">
        <v>4</v>
      </c>
      <c r="F84" s="138"/>
      <c r="G84" s="138" t="s">
        <v>6</v>
      </c>
      <c r="H84" s="138" t="s">
        <v>3</v>
      </c>
      <c r="I84" s="138" t="s">
        <v>9</v>
      </c>
      <c r="J84" s="137" t="s">
        <v>15</v>
      </c>
    </row>
    <row r="85" spans="2:10" s="121" customFormat="1" ht="3" customHeight="1" x14ac:dyDescent="0.2">
      <c r="B85" s="136"/>
      <c r="C85" s="136"/>
      <c r="D85" s="136"/>
      <c r="E85" s="137"/>
      <c r="F85" s="138"/>
      <c r="G85" s="138"/>
      <c r="H85" s="138"/>
      <c r="I85" s="138"/>
      <c r="J85" s="137"/>
    </row>
    <row r="86" spans="2:10" s="121" customFormat="1" ht="15" x14ac:dyDescent="0.2">
      <c r="B86" s="134" t="s">
        <v>30</v>
      </c>
      <c r="C86" s="134"/>
      <c r="D86" s="134"/>
      <c r="E86" s="263" t="s">
        <v>31</v>
      </c>
      <c r="F86" s="134"/>
      <c r="G86" s="141"/>
      <c r="H86" s="139" t="s">
        <v>134</v>
      </c>
      <c r="I86" s="139" t="s">
        <v>18</v>
      </c>
      <c r="J86" s="263"/>
    </row>
    <row r="87" spans="2:10" s="121" customFormat="1" ht="3" customHeight="1" x14ac:dyDescent="0.2">
      <c r="B87" s="134"/>
      <c r="C87" s="134"/>
      <c r="D87" s="134"/>
      <c r="E87" s="263"/>
      <c r="F87" s="134"/>
      <c r="G87" s="139"/>
      <c r="H87" s="139"/>
      <c r="I87" s="139"/>
      <c r="J87" s="263"/>
    </row>
    <row r="88" spans="2:10" s="121" customFormat="1" x14ac:dyDescent="0.2">
      <c r="B88" s="134" t="s">
        <v>32</v>
      </c>
      <c r="C88" s="134"/>
      <c r="D88" s="134"/>
      <c r="E88" s="262" t="s">
        <v>33</v>
      </c>
      <c r="F88" s="134"/>
      <c r="G88" s="139">
        <v>0.1</v>
      </c>
      <c r="H88" s="139" t="s">
        <v>5</v>
      </c>
      <c r="I88" s="148" t="str">
        <f>IF(Freg_application=0.1, "D", "S")</f>
        <v>D</v>
      </c>
      <c r="J88" s="263"/>
    </row>
    <row r="89" spans="2:10" s="121" customFormat="1" ht="3" customHeight="1" x14ac:dyDescent="0.2">
      <c r="B89" s="134"/>
      <c r="C89" s="134"/>
      <c r="D89" s="134"/>
      <c r="E89" s="262"/>
      <c r="F89" s="134"/>
      <c r="G89" s="139"/>
      <c r="H89" s="139"/>
      <c r="I89" s="139"/>
      <c r="J89" s="263"/>
    </row>
    <row r="90" spans="2:10" s="121" customFormat="1" ht="15" x14ac:dyDescent="0.2">
      <c r="B90" s="134" t="s">
        <v>139</v>
      </c>
      <c r="C90" s="134"/>
      <c r="D90" s="134"/>
      <c r="E90" s="262" t="s">
        <v>140</v>
      </c>
      <c r="F90" s="134"/>
      <c r="G90" s="227" t="str">
        <f>IF(ISNUMBER(TONNAGEapplication), TONNAGEapplication*Freg_application,"??")</f>
        <v>??</v>
      </c>
      <c r="H90" s="139" t="s">
        <v>134</v>
      </c>
      <c r="I90" s="139" t="s">
        <v>7</v>
      </c>
      <c r="J90" s="263" t="s">
        <v>357</v>
      </c>
    </row>
    <row r="91" spans="2:10" s="121" customFormat="1" ht="3" customHeight="1" x14ac:dyDescent="0.2">
      <c r="B91" s="134"/>
      <c r="C91" s="134"/>
      <c r="D91" s="134"/>
      <c r="E91" s="263"/>
      <c r="F91" s="134"/>
      <c r="G91" s="139"/>
      <c r="H91" s="139"/>
      <c r="I91" s="139"/>
      <c r="J91" s="263"/>
    </row>
    <row r="92" spans="2:10" s="121" customFormat="1" ht="26.25" customHeight="1" x14ac:dyDescent="0.2">
      <c r="B92" s="431" t="s">
        <v>359</v>
      </c>
      <c r="C92" s="431"/>
      <c r="D92" s="134"/>
      <c r="E92" s="263" t="s">
        <v>358</v>
      </c>
      <c r="F92" s="134"/>
      <c r="G92" s="141"/>
      <c r="H92" s="139" t="s">
        <v>5</v>
      </c>
      <c r="I92" s="139" t="s">
        <v>18</v>
      </c>
      <c r="J92" s="353" t="s">
        <v>573</v>
      </c>
    </row>
    <row r="93" spans="2:10" s="121" customFormat="1" ht="3" customHeight="1" x14ac:dyDescent="0.2">
      <c r="B93" s="134"/>
      <c r="C93" s="134"/>
      <c r="D93" s="134"/>
      <c r="E93" s="263"/>
      <c r="F93" s="134"/>
      <c r="G93" s="139"/>
      <c r="H93" s="139"/>
      <c r="I93" s="139"/>
      <c r="J93" s="263"/>
    </row>
    <row r="94" spans="2:10" s="121" customFormat="1" ht="25.5" x14ac:dyDescent="0.2">
      <c r="B94" s="134" t="s">
        <v>360</v>
      </c>
      <c r="C94" s="134"/>
      <c r="D94" s="134"/>
      <c r="E94" s="263" t="s">
        <v>361</v>
      </c>
      <c r="F94" s="134"/>
      <c r="G94" s="227" t="str">
        <f>IF(AND(ISNUMBER(TONNAGEreg_application), ISNUMBER(Fchemform_application)),TONNAGEreg_application/Fchemform_application,"??")</f>
        <v>??</v>
      </c>
      <c r="H94" s="139" t="s">
        <v>134</v>
      </c>
      <c r="I94" s="139" t="s">
        <v>7</v>
      </c>
      <c r="J94" s="260" t="s">
        <v>555</v>
      </c>
    </row>
    <row r="95" spans="2:10" s="121" customFormat="1" ht="3" customHeight="1" thickBot="1" x14ac:dyDescent="0.25">
      <c r="B95" s="134"/>
      <c r="C95" s="134"/>
      <c r="D95" s="134"/>
      <c r="E95" s="263"/>
      <c r="F95" s="134"/>
      <c r="G95" s="139"/>
      <c r="H95" s="139"/>
      <c r="I95" s="139"/>
      <c r="J95" s="260"/>
    </row>
    <row r="96" spans="2:10" s="121" customFormat="1" ht="24.75" customHeight="1" thickTop="1" thickBot="1" x14ac:dyDescent="0.25">
      <c r="B96" s="431" t="s">
        <v>833</v>
      </c>
      <c r="C96" s="431"/>
      <c r="D96" s="134"/>
      <c r="E96" s="444" t="s">
        <v>380</v>
      </c>
      <c r="F96" s="444"/>
      <c r="G96" s="444"/>
      <c r="H96" s="134"/>
      <c r="I96" s="134"/>
      <c r="J96" s="260"/>
    </row>
    <row r="97" spans="2:10" s="121" customFormat="1" ht="3" customHeight="1" thickTop="1" x14ac:dyDescent="0.2">
      <c r="B97" s="263"/>
      <c r="C97" s="260"/>
      <c r="D97" s="134"/>
      <c r="E97" s="263"/>
      <c r="F97" s="134"/>
      <c r="G97" s="139"/>
      <c r="H97" s="139"/>
      <c r="I97" s="139"/>
      <c r="J97" s="260"/>
    </row>
    <row r="98" spans="2:10" s="121" customFormat="1" x14ac:dyDescent="0.2">
      <c r="B98" s="134" t="s">
        <v>377</v>
      </c>
      <c r="C98" s="134"/>
      <c r="D98" s="134"/>
      <c r="E98" s="263" t="s">
        <v>165</v>
      </c>
      <c r="F98" s="134"/>
      <c r="G98" s="36" t="str">
        <f>INDEX('Pick-lists &amp; Defaults'!C175:C182,MATCH(Select_tonnage,tonnage_range_leather_application,0))</f>
        <v>??</v>
      </c>
      <c r="H98" s="139" t="s">
        <v>5</v>
      </c>
      <c r="I98" s="139" t="s">
        <v>237</v>
      </c>
      <c r="J98" s="263" t="s">
        <v>626</v>
      </c>
    </row>
    <row r="99" spans="2:10" s="121" customFormat="1" ht="3" customHeight="1" x14ac:dyDescent="0.2">
      <c r="B99" s="134"/>
      <c r="C99" s="134"/>
      <c r="D99" s="134"/>
      <c r="E99" s="263"/>
      <c r="F99" s="134"/>
      <c r="G99" s="139"/>
      <c r="H99" s="139"/>
      <c r="I99" s="139"/>
      <c r="J99" s="263"/>
    </row>
    <row r="100" spans="2:10" s="121" customFormat="1" ht="15" x14ac:dyDescent="0.2">
      <c r="B100" s="134" t="s">
        <v>164</v>
      </c>
      <c r="C100" s="134"/>
      <c r="D100" s="134"/>
      <c r="E100" s="263" t="s">
        <v>378</v>
      </c>
      <c r="F100" s="134"/>
      <c r="G100" s="274" t="str">
        <f>INDEX('Pick-lists &amp; Defaults'!E175:E182,MATCH(Select_tonnage,tonnage_range_leather_application,0))</f>
        <v>??</v>
      </c>
      <c r="H100" s="139" t="s">
        <v>651</v>
      </c>
      <c r="I100" s="148" t="s">
        <v>237</v>
      </c>
      <c r="J100" s="263" t="s">
        <v>626</v>
      </c>
    </row>
    <row r="101" spans="2:10" s="121" customFormat="1" ht="3" customHeight="1" thickBot="1" x14ac:dyDescent="0.25">
      <c r="B101" s="134"/>
      <c r="C101" s="134"/>
      <c r="D101" s="134"/>
      <c r="E101" s="263"/>
      <c r="F101" s="134"/>
      <c r="G101" s="139"/>
      <c r="H101" s="139"/>
      <c r="I101" s="139"/>
      <c r="J101" s="263"/>
    </row>
    <row r="102" spans="2:10" s="121" customFormat="1" ht="17.25" thickTop="1" thickBot="1" x14ac:dyDescent="0.25">
      <c r="B102" s="260" t="s">
        <v>503</v>
      </c>
      <c r="C102" s="228" t="s">
        <v>504</v>
      </c>
      <c r="D102" s="134"/>
      <c r="E102" s="295" t="s">
        <v>652</v>
      </c>
      <c r="F102" s="134"/>
      <c r="G102" s="358" t="str">
        <f>INDEX('Pick-lists &amp; Defaults'!C186:C188,MATCH(Solubility,Select_solubility,0))</f>
        <v>??</v>
      </c>
      <c r="H102" s="158" t="s">
        <v>512</v>
      </c>
      <c r="I102" s="139" t="s">
        <v>237</v>
      </c>
      <c r="J102" s="260" t="s">
        <v>627</v>
      </c>
    </row>
    <row r="103" spans="2:10" s="121" customFormat="1" ht="3" customHeight="1" thickTop="1" x14ac:dyDescent="0.2">
      <c r="B103" s="260"/>
      <c r="C103" s="134"/>
      <c r="D103" s="134"/>
      <c r="E103" s="263"/>
      <c r="F103" s="134"/>
      <c r="G103" s="263"/>
      <c r="H103" s="139"/>
      <c r="I103" s="139"/>
      <c r="J103" s="260"/>
    </row>
    <row r="104" spans="2:10" s="121" customFormat="1" x14ac:dyDescent="0.2">
      <c r="B104" s="134"/>
      <c r="C104" s="134"/>
      <c r="D104" s="134"/>
      <c r="E104" s="134"/>
      <c r="F104" s="134"/>
      <c r="G104" s="134"/>
      <c r="H104" s="134"/>
      <c r="I104" s="134"/>
      <c r="J104" s="263"/>
    </row>
    <row r="105" spans="2:10" s="121" customFormat="1" ht="15" x14ac:dyDescent="0.2">
      <c r="B105" s="131" t="s">
        <v>1</v>
      </c>
      <c r="C105" s="132"/>
      <c r="D105" s="132"/>
      <c r="E105" s="132"/>
      <c r="F105" s="132"/>
      <c r="G105" s="132"/>
      <c r="H105" s="132"/>
      <c r="I105" s="132"/>
      <c r="J105" s="133"/>
    </row>
    <row r="106" spans="2:10" s="121" customFormat="1" ht="3" customHeight="1" x14ac:dyDescent="0.2">
      <c r="B106" s="134"/>
      <c r="C106" s="134"/>
      <c r="D106" s="134"/>
      <c r="E106" s="134"/>
      <c r="F106" s="134"/>
      <c r="G106" s="134"/>
      <c r="H106" s="134"/>
      <c r="I106" s="134"/>
      <c r="J106" s="263"/>
    </row>
    <row r="107" spans="2:10" s="121" customFormat="1" ht="15" x14ac:dyDescent="0.2">
      <c r="B107" s="136" t="s">
        <v>2</v>
      </c>
      <c r="C107" s="136"/>
      <c r="D107" s="136"/>
      <c r="E107" s="137" t="s">
        <v>4</v>
      </c>
      <c r="F107" s="138"/>
      <c r="G107" s="138" t="s">
        <v>6</v>
      </c>
      <c r="H107" s="138" t="s">
        <v>3</v>
      </c>
      <c r="I107" s="138" t="s">
        <v>9</v>
      </c>
      <c r="J107" s="137" t="s">
        <v>15</v>
      </c>
    </row>
    <row r="108" spans="2:10" s="121" customFormat="1" ht="3" customHeight="1" x14ac:dyDescent="0.2">
      <c r="B108" s="136"/>
      <c r="C108" s="136"/>
      <c r="D108" s="136"/>
      <c r="E108" s="137"/>
      <c r="F108" s="138"/>
      <c r="G108" s="138"/>
      <c r="H108" s="138"/>
      <c r="I108" s="138"/>
      <c r="J108" s="137"/>
    </row>
    <row r="109" spans="2:10" s="121" customFormat="1" ht="15" x14ac:dyDescent="0.2">
      <c r="B109" s="161" t="s">
        <v>507</v>
      </c>
      <c r="C109" s="86"/>
      <c r="D109" s="134"/>
      <c r="E109" s="134" t="s">
        <v>44</v>
      </c>
      <c r="F109" s="134"/>
      <c r="G109" s="149" t="str">
        <f>IF(AND(ISNUMBER(Fmainsource_application),ISNUMBER(Temission_application),ISNUMBER(RELEASEwater)),Fmainsource_application*(1000/Temission_application)*RELEASEwater,"??")</f>
        <v>??</v>
      </c>
      <c r="H109" s="139" t="s">
        <v>16</v>
      </c>
      <c r="I109" s="139" t="s">
        <v>7</v>
      </c>
      <c r="J109" s="261" t="s">
        <v>506</v>
      </c>
    </row>
    <row r="110" spans="2:10" s="121" customFormat="1" x14ac:dyDescent="0.2">
      <c r="B110" s="161"/>
      <c r="C110" s="86"/>
      <c r="D110" s="134"/>
      <c r="E110" s="134"/>
      <c r="F110" s="134"/>
      <c r="G110" s="134"/>
      <c r="H110" s="139"/>
      <c r="I110" s="139"/>
      <c r="J110" s="261"/>
    </row>
    <row r="111" spans="2:10" s="121" customFormat="1" x14ac:dyDescent="0.2">
      <c r="B111" s="143" t="s">
        <v>10</v>
      </c>
      <c r="J111" s="146"/>
    </row>
    <row r="112" spans="2:10" s="121" customFormat="1" x14ac:dyDescent="0.2">
      <c r="J112" s="146"/>
    </row>
    <row r="113" spans="2:10" s="121" customFormat="1" x14ac:dyDescent="0.2">
      <c r="B113" s="255" t="s">
        <v>422</v>
      </c>
      <c r="J113" s="146"/>
    </row>
    <row r="114" spans="2:10" s="348" customFormat="1" x14ac:dyDescent="0.2">
      <c r="B114" s="255"/>
      <c r="J114" s="146"/>
    </row>
    <row r="115" spans="2:10" s="121" customFormat="1" x14ac:dyDescent="0.2">
      <c r="B115" s="247"/>
      <c r="C115" s="247"/>
      <c r="D115" s="247"/>
      <c r="E115" s="247"/>
      <c r="F115" s="247"/>
      <c r="G115" s="247"/>
      <c r="H115" s="247"/>
      <c r="I115" s="247"/>
      <c r="J115" s="247"/>
    </row>
    <row r="116" spans="2:10" s="121" customFormat="1" ht="14.25" x14ac:dyDescent="0.2">
      <c r="B116" s="432" t="s">
        <v>383</v>
      </c>
      <c r="C116" s="433"/>
      <c r="D116" s="433"/>
      <c r="E116" s="433"/>
      <c r="F116" s="433"/>
      <c r="G116" s="433"/>
      <c r="H116" s="433"/>
      <c r="I116" s="433"/>
      <c r="J116" s="433"/>
    </row>
    <row r="117" spans="2:10" s="121" customFormat="1" ht="14.25" x14ac:dyDescent="0.2">
      <c r="B117" s="246"/>
      <c r="C117" s="246"/>
      <c r="D117" s="246"/>
      <c r="E117" s="246"/>
      <c r="F117" s="246"/>
      <c r="G117" s="246"/>
      <c r="H117" s="246"/>
      <c r="I117" s="246"/>
      <c r="J117" s="246"/>
    </row>
    <row r="118" spans="2:10" s="121" customFormat="1" ht="18" x14ac:dyDescent="0.2">
      <c r="B118" s="437" t="s">
        <v>644</v>
      </c>
      <c r="C118" s="437"/>
      <c r="D118" s="437"/>
      <c r="E118" s="437"/>
      <c r="F118" s="437"/>
      <c r="G118" s="437"/>
      <c r="H118" s="437"/>
      <c r="I118" s="437"/>
      <c r="J118" s="437"/>
    </row>
    <row r="119" spans="2:10" s="121" customFormat="1" ht="3" customHeight="1" x14ac:dyDescent="0.2">
      <c r="B119" s="246"/>
      <c r="C119" s="246"/>
      <c r="D119" s="246"/>
      <c r="E119" s="246"/>
      <c r="F119" s="246"/>
      <c r="G119" s="246"/>
      <c r="H119" s="246"/>
      <c r="I119" s="246"/>
      <c r="J119" s="246"/>
    </row>
    <row r="120" spans="2:10" s="121" customFormat="1" x14ac:dyDescent="0.2">
      <c r="B120" s="129" t="s">
        <v>8</v>
      </c>
      <c r="C120" s="129"/>
      <c r="D120" s="129"/>
      <c r="E120" s="130"/>
      <c r="F120" s="130"/>
      <c r="G120" s="130"/>
      <c r="H120" s="130"/>
      <c r="I120" s="130"/>
      <c r="J120" s="146"/>
    </row>
    <row r="121" spans="2:10" s="121" customFormat="1" x14ac:dyDescent="0.2">
      <c r="B121" s="469" t="s">
        <v>631</v>
      </c>
      <c r="C121" s="469"/>
      <c r="D121" s="469"/>
      <c r="E121" s="469"/>
      <c r="F121" s="469"/>
      <c r="G121" s="469"/>
      <c r="H121" s="469"/>
      <c r="I121" s="469"/>
      <c r="J121" s="469"/>
    </row>
    <row r="122" spans="2:10" s="121" customFormat="1" ht="32.25" customHeight="1" x14ac:dyDescent="0.2">
      <c r="B122" s="469" t="s">
        <v>632</v>
      </c>
      <c r="C122" s="469"/>
      <c r="D122" s="469"/>
      <c r="E122" s="469"/>
      <c r="F122" s="469"/>
      <c r="G122" s="469"/>
      <c r="H122" s="469"/>
      <c r="I122" s="469"/>
      <c r="J122" s="469"/>
    </row>
    <row r="123" spans="2:10" s="121" customFormat="1" ht="15" customHeight="1" x14ac:dyDescent="0.2">
      <c r="B123" s="434" t="s">
        <v>633</v>
      </c>
      <c r="C123" s="434"/>
      <c r="D123" s="434"/>
      <c r="E123" s="434"/>
      <c r="F123" s="434"/>
      <c r="G123" s="434"/>
      <c r="H123" s="434"/>
      <c r="I123" s="434"/>
      <c r="J123" s="434"/>
    </row>
    <row r="124" spans="2:10" s="121" customFormat="1" x14ac:dyDescent="0.2">
      <c r="B124" s="469" t="s">
        <v>634</v>
      </c>
      <c r="C124" s="469"/>
      <c r="D124" s="469"/>
      <c r="E124" s="469"/>
      <c r="F124" s="469"/>
      <c r="G124" s="469"/>
      <c r="H124" s="469"/>
      <c r="I124" s="469"/>
      <c r="J124" s="469"/>
    </row>
    <row r="125" spans="2:10" s="121" customFormat="1" ht="3" customHeight="1" x14ac:dyDescent="0.2">
      <c r="B125" s="278"/>
      <c r="C125" s="278"/>
      <c r="D125" s="278"/>
      <c r="E125" s="278"/>
      <c r="F125" s="278"/>
      <c r="G125" s="278"/>
      <c r="H125" s="278"/>
      <c r="I125" s="278"/>
      <c r="J125" s="146"/>
    </row>
    <row r="126" spans="2:10" s="121" customFormat="1" ht="15" x14ac:dyDescent="0.2">
      <c r="B126" s="131" t="s">
        <v>0</v>
      </c>
      <c r="C126" s="131"/>
      <c r="D126" s="131"/>
      <c r="E126" s="279"/>
      <c r="F126" s="279"/>
      <c r="G126" s="279"/>
      <c r="H126" s="279"/>
      <c r="I126" s="279"/>
      <c r="J126" s="280"/>
    </row>
    <row r="127" spans="2:10" s="121" customFormat="1" ht="3" customHeight="1" x14ac:dyDescent="0.2">
      <c r="B127" s="281"/>
      <c r="C127" s="281"/>
      <c r="D127" s="281"/>
      <c r="E127" s="281"/>
      <c r="F127" s="296"/>
      <c r="G127" s="281"/>
      <c r="H127" s="281"/>
      <c r="I127" s="281"/>
      <c r="J127" s="282"/>
    </row>
    <row r="128" spans="2:10" s="121" customFormat="1" ht="15" x14ac:dyDescent="0.2">
      <c r="B128" s="283" t="s">
        <v>2</v>
      </c>
      <c r="C128" s="283"/>
      <c r="D128" s="283"/>
      <c r="E128" s="284" t="s">
        <v>4</v>
      </c>
      <c r="F128" s="296"/>
      <c r="G128" s="285" t="s">
        <v>6</v>
      </c>
      <c r="H128" s="285" t="s">
        <v>3</v>
      </c>
      <c r="I128" s="285" t="s">
        <v>9</v>
      </c>
      <c r="J128" s="284" t="s">
        <v>15</v>
      </c>
    </row>
    <row r="129" spans="2:16" s="121" customFormat="1" x14ac:dyDescent="0.2">
      <c r="B129" s="283"/>
      <c r="C129" s="283"/>
      <c r="D129" s="283"/>
      <c r="E129" s="284"/>
      <c r="F129" s="296"/>
      <c r="G129" s="285"/>
      <c r="H129" s="285"/>
      <c r="I129" s="285"/>
      <c r="J129" s="284"/>
    </row>
    <row r="130" spans="2:16" s="121" customFormat="1" ht="15" x14ac:dyDescent="0.2">
      <c r="B130" s="134" t="s">
        <v>510</v>
      </c>
      <c r="C130" s="283"/>
      <c r="D130" s="30"/>
      <c r="E130" s="263" t="s">
        <v>511</v>
      </c>
      <c r="F130" s="296"/>
      <c r="G130" s="286">
        <v>15</v>
      </c>
      <c r="H130" s="139" t="s">
        <v>287</v>
      </c>
      <c r="I130" s="148" t="str">
        <f>IF(Qrawhide=15, "D", "S")</f>
        <v>D</v>
      </c>
      <c r="J130" s="263"/>
    </row>
    <row r="131" spans="2:16" s="121" customFormat="1" ht="3" customHeight="1" x14ac:dyDescent="0.2">
      <c r="B131" s="260"/>
      <c r="C131" s="30"/>
      <c r="D131" s="30"/>
      <c r="E131" s="30"/>
      <c r="F131" s="296"/>
      <c r="G131" s="290"/>
      <c r="H131" s="30"/>
      <c r="I131" s="30"/>
      <c r="J131" s="30"/>
    </row>
    <row r="132" spans="2:16" s="121" customFormat="1" x14ac:dyDescent="0.2">
      <c r="B132" s="53" t="s">
        <v>526</v>
      </c>
      <c r="C132" s="416"/>
      <c r="D132" s="416"/>
      <c r="E132" s="416" t="s">
        <v>834</v>
      </c>
      <c r="F132" s="417"/>
      <c r="G132" s="408"/>
      <c r="H132" s="418" t="s">
        <v>5</v>
      </c>
      <c r="I132" s="418" t="s">
        <v>18</v>
      </c>
      <c r="J132" s="416"/>
    </row>
    <row r="133" spans="2:16" s="121" customFormat="1" ht="3" customHeight="1" x14ac:dyDescent="0.2">
      <c r="B133" s="416"/>
      <c r="C133" s="416"/>
      <c r="D133" s="416"/>
      <c r="E133" s="416"/>
      <c r="F133" s="417"/>
      <c r="G133" s="418"/>
      <c r="H133" s="416"/>
      <c r="I133" s="416"/>
      <c r="J133" s="416"/>
    </row>
    <row r="134" spans="2:16" s="121" customFormat="1" ht="51" x14ac:dyDescent="0.2">
      <c r="B134" s="460" t="s">
        <v>531</v>
      </c>
      <c r="C134" s="460"/>
      <c r="D134" s="416"/>
      <c r="E134" s="416" t="s">
        <v>835</v>
      </c>
      <c r="F134" s="417"/>
      <c r="G134" s="418">
        <v>0</v>
      </c>
      <c r="H134" s="418" t="s">
        <v>5</v>
      </c>
      <c r="I134" s="63" t="str">
        <f>IF(Fon_site_treat=0, "D", "S")</f>
        <v>D</v>
      </c>
      <c r="J134" s="416" t="s">
        <v>532</v>
      </c>
      <c r="L134" s="368" t="s">
        <v>657</v>
      </c>
      <c r="M134" s="369"/>
      <c r="N134" s="369"/>
      <c r="O134" s="369"/>
      <c r="P134" s="369"/>
    </row>
    <row r="135" spans="2:16" s="121" customFormat="1" ht="3" customHeight="1" x14ac:dyDescent="0.2">
      <c r="B135" s="407"/>
      <c r="C135" s="407"/>
      <c r="D135" s="416"/>
      <c r="E135" s="416"/>
      <c r="F135" s="417"/>
      <c r="G135" s="418"/>
      <c r="H135" s="418"/>
      <c r="I135" s="63"/>
      <c r="J135" s="416"/>
    </row>
    <row r="136" spans="2:16" s="121" customFormat="1" x14ac:dyDescent="0.2">
      <c r="B136" s="460" t="s">
        <v>462</v>
      </c>
      <c r="C136" s="460"/>
      <c r="D136" s="416"/>
      <c r="E136" s="416" t="s">
        <v>836</v>
      </c>
      <c r="F136" s="417"/>
      <c r="G136" s="418">
        <v>1</v>
      </c>
      <c r="H136" s="418" t="s">
        <v>5</v>
      </c>
      <c r="I136" s="63" t="str">
        <f>IF(Fpen=1, "D", "S")</f>
        <v>D</v>
      </c>
      <c r="J136" s="416"/>
    </row>
    <row r="137" spans="2:16" s="121" customFormat="1" ht="3" customHeight="1" x14ac:dyDescent="0.2">
      <c r="B137" s="283"/>
      <c r="C137" s="283"/>
      <c r="D137" s="283"/>
      <c r="E137" s="284"/>
      <c r="F137" s="134"/>
      <c r="G137" s="285"/>
      <c r="H137" s="285"/>
      <c r="I137" s="285"/>
      <c r="J137" s="284"/>
    </row>
    <row r="138" spans="2:16" s="121" customFormat="1" ht="13.5" thickBot="1" x14ac:dyDescent="0.25">
      <c r="B138" s="297"/>
      <c r="C138" s="297"/>
      <c r="D138" s="297"/>
      <c r="E138" s="298"/>
      <c r="F138" s="192"/>
      <c r="G138" s="299"/>
      <c r="H138" s="299"/>
      <c r="I138" s="299"/>
      <c r="J138" s="298"/>
    </row>
    <row r="139" spans="2:16" s="121" customFormat="1" ht="17.25" thickTop="1" thickBot="1" x14ac:dyDescent="0.25">
      <c r="B139" s="287" t="s">
        <v>485</v>
      </c>
      <c r="C139" s="267" t="s">
        <v>486</v>
      </c>
      <c r="D139" s="30"/>
      <c r="E139" s="30"/>
      <c r="F139" s="296"/>
      <c r="G139" s="30"/>
      <c r="H139" s="30"/>
      <c r="I139" s="30"/>
      <c r="J139" s="30"/>
    </row>
    <row r="140" spans="2:16" s="121" customFormat="1" ht="15.75" thickTop="1" thickBot="1" x14ac:dyDescent="0.25">
      <c r="B140" s="287"/>
      <c r="C140" s="30"/>
      <c r="D140" s="30"/>
      <c r="E140" s="30"/>
      <c r="F140" s="296"/>
      <c r="G140" s="30"/>
      <c r="H140" s="30"/>
      <c r="I140" s="30"/>
      <c r="J140" s="30"/>
    </row>
    <row r="141" spans="2:16" s="121" customFormat="1" ht="27" thickTop="1" thickBot="1" x14ac:dyDescent="0.25">
      <c r="B141" s="261" t="s">
        <v>535</v>
      </c>
      <c r="C141" s="267" t="s">
        <v>534</v>
      </c>
      <c r="D141" s="30"/>
      <c r="E141" s="30" t="s">
        <v>523</v>
      </c>
      <c r="F141" s="296"/>
      <c r="G141" s="274" t="str">
        <f>INDEX('Pick-lists &amp; Defaults'!C199:C203, MATCH(Leather_1,Select_leather_type,0))</f>
        <v>??</v>
      </c>
      <c r="H141" s="290" t="s">
        <v>5</v>
      </c>
      <c r="I141" s="290" t="s">
        <v>237</v>
      </c>
      <c r="J141" s="30" t="s">
        <v>629</v>
      </c>
    </row>
    <row r="142" spans="2:16" s="121" customFormat="1" ht="3" customHeight="1" thickTop="1" x14ac:dyDescent="0.2">
      <c r="B142" s="287"/>
      <c r="C142" s="30"/>
      <c r="D142" s="30"/>
      <c r="E142" s="30"/>
      <c r="F142" s="296"/>
      <c r="G142" s="30"/>
      <c r="H142" s="30"/>
      <c r="I142" s="30"/>
      <c r="J142" s="30"/>
    </row>
    <row r="143" spans="2:16" s="121" customFormat="1" ht="15" customHeight="1" x14ac:dyDescent="0.2">
      <c r="B143" s="262" t="s">
        <v>524</v>
      </c>
      <c r="C143" s="30"/>
      <c r="D143" s="30"/>
      <c r="E143" s="30" t="s">
        <v>525</v>
      </c>
      <c r="F143" s="296"/>
      <c r="G143" s="141"/>
      <c r="H143" s="290" t="s">
        <v>291</v>
      </c>
      <c r="I143" s="290" t="s">
        <v>18</v>
      </c>
      <c r="J143" s="30"/>
    </row>
    <row r="144" spans="2:16" s="121" customFormat="1" ht="3" customHeight="1" x14ac:dyDescent="0.2">
      <c r="B144" s="287"/>
      <c r="C144" s="30"/>
      <c r="D144" s="30"/>
      <c r="E144" s="30"/>
      <c r="F144" s="296"/>
      <c r="G144" s="30"/>
      <c r="H144" s="30"/>
      <c r="I144" s="30"/>
      <c r="J144" s="30"/>
    </row>
    <row r="145" spans="2:10" s="121" customFormat="1" ht="34.5" customHeight="1" x14ac:dyDescent="0.2">
      <c r="B145" s="431" t="s">
        <v>527</v>
      </c>
      <c r="C145" s="431"/>
      <c r="D145" s="30"/>
      <c r="E145" s="30" t="s">
        <v>457</v>
      </c>
      <c r="F145" s="296"/>
      <c r="G145" s="290">
        <v>0</v>
      </c>
      <c r="H145" s="290" t="s">
        <v>5</v>
      </c>
      <c r="I145" s="148" t="str">
        <f>IF(Ffix_1=0, "D", "S")</f>
        <v>D</v>
      </c>
      <c r="J145" s="30"/>
    </row>
    <row r="146" spans="2:10" s="121" customFormat="1" ht="3" customHeight="1" x14ac:dyDescent="0.2">
      <c r="B146" s="260"/>
      <c r="C146" s="260"/>
      <c r="D146" s="30"/>
      <c r="E146" s="30"/>
      <c r="F146" s="296"/>
      <c r="G146" s="290"/>
      <c r="H146" s="290"/>
      <c r="I146" s="148"/>
      <c r="J146" s="30"/>
    </row>
    <row r="147" spans="2:10" s="121" customFormat="1" ht="36" customHeight="1" x14ac:dyDescent="0.2">
      <c r="B147" s="431" t="s">
        <v>528</v>
      </c>
      <c r="C147" s="431"/>
      <c r="D147" s="30"/>
      <c r="E147" s="30" t="s">
        <v>529</v>
      </c>
      <c r="F147" s="296"/>
      <c r="G147" s="290">
        <v>1</v>
      </c>
      <c r="H147" s="290" t="s">
        <v>5</v>
      </c>
      <c r="I147" s="148" t="str">
        <f>IF(Fprod_1=1, "D", "S")</f>
        <v>D</v>
      </c>
      <c r="J147" s="30" t="s">
        <v>530</v>
      </c>
    </row>
    <row r="148" spans="2:10" s="119" customFormat="1" x14ac:dyDescent="0.2">
      <c r="B148" s="291"/>
      <c r="C148" s="291"/>
      <c r="D148" s="289"/>
      <c r="E148" s="289"/>
      <c r="F148" s="276"/>
      <c r="G148" s="288"/>
      <c r="H148" s="288"/>
      <c r="I148" s="311"/>
      <c r="J148" s="289"/>
    </row>
    <row r="149" spans="2:10" s="119" customFormat="1" ht="15" thickBot="1" x14ac:dyDescent="0.25">
      <c r="B149" s="287"/>
      <c r="C149" s="30"/>
      <c r="D149" s="30"/>
      <c r="E149" s="30"/>
      <c r="F149" s="134"/>
      <c r="G149" s="30"/>
      <c r="H149" s="30"/>
      <c r="I149" s="30"/>
      <c r="J149" s="30"/>
    </row>
    <row r="150" spans="2:10" s="121" customFormat="1" ht="17.25" thickTop="1" thickBot="1" x14ac:dyDescent="0.25">
      <c r="B150" s="287" t="s">
        <v>487</v>
      </c>
      <c r="C150" s="267" t="s">
        <v>486</v>
      </c>
      <c r="D150" s="260"/>
      <c r="E150" s="134"/>
      <c r="F150" s="296"/>
      <c r="G150" s="286"/>
      <c r="H150" s="139"/>
      <c r="I150" s="139"/>
      <c r="J150" s="53"/>
    </row>
    <row r="151" spans="2:10" s="121" customFormat="1" ht="15.75" thickTop="1" thickBot="1" x14ac:dyDescent="0.25">
      <c r="B151" s="287"/>
      <c r="C151" s="30"/>
      <c r="D151" s="30"/>
      <c r="E151" s="30"/>
      <c r="F151" s="296"/>
      <c r="G151" s="30"/>
      <c r="H151" s="30"/>
      <c r="I151" s="30"/>
      <c r="J151" s="30"/>
    </row>
    <row r="152" spans="2:10" s="121" customFormat="1" ht="27" thickTop="1" thickBot="1" x14ac:dyDescent="0.25">
      <c r="B152" s="261" t="s">
        <v>535</v>
      </c>
      <c r="C152" s="267" t="s">
        <v>534</v>
      </c>
      <c r="D152" s="30"/>
      <c r="E152" s="30" t="s">
        <v>523</v>
      </c>
      <c r="F152" s="296"/>
      <c r="G152" s="274" t="str">
        <f>INDEX('Pick-lists &amp; Defaults'!C199:C203, MATCH(Leather_2,Select_leather_type,0))</f>
        <v>??</v>
      </c>
      <c r="H152" s="290" t="s">
        <v>5</v>
      </c>
      <c r="I152" s="290" t="s">
        <v>237</v>
      </c>
      <c r="J152" s="30" t="s">
        <v>629</v>
      </c>
    </row>
    <row r="153" spans="2:10" s="121" customFormat="1" ht="3" customHeight="1" thickTop="1" x14ac:dyDescent="0.2">
      <c r="B153" s="287"/>
      <c r="C153" s="30"/>
      <c r="D153" s="30"/>
      <c r="E153" s="30"/>
      <c r="F153" s="296"/>
      <c r="G153" s="30"/>
      <c r="H153" s="30"/>
      <c r="I153" s="30"/>
      <c r="J153" s="30"/>
    </row>
    <row r="154" spans="2:10" s="121" customFormat="1" ht="15" customHeight="1" x14ac:dyDescent="0.2">
      <c r="B154" s="262" t="s">
        <v>524</v>
      </c>
      <c r="C154" s="30"/>
      <c r="D154" s="30"/>
      <c r="E154" s="30" t="s">
        <v>525</v>
      </c>
      <c r="F154" s="296"/>
      <c r="G154" s="141"/>
      <c r="H154" s="290" t="s">
        <v>291</v>
      </c>
      <c r="I154" s="290" t="s">
        <v>18</v>
      </c>
      <c r="J154" s="30"/>
    </row>
    <row r="155" spans="2:10" s="121" customFormat="1" ht="3" customHeight="1" x14ac:dyDescent="0.2">
      <c r="B155" s="265"/>
      <c r="C155" s="134"/>
      <c r="D155" s="260"/>
      <c r="E155" s="134"/>
      <c r="F155" s="296"/>
      <c r="G155" s="286"/>
      <c r="H155" s="139"/>
      <c r="I155" s="139"/>
      <c r="J155" s="53"/>
    </row>
    <row r="156" spans="2:10" s="121" customFormat="1" ht="31.5" customHeight="1" x14ac:dyDescent="0.2">
      <c r="B156" s="431" t="s">
        <v>527</v>
      </c>
      <c r="C156" s="431"/>
      <c r="D156" s="30"/>
      <c r="E156" s="30" t="s">
        <v>457</v>
      </c>
      <c r="F156" s="296"/>
      <c r="G156" s="290">
        <v>0</v>
      </c>
      <c r="H156" s="290" t="s">
        <v>5</v>
      </c>
      <c r="I156" s="148" t="str">
        <f>IF(Ffix_2=0, "D", "S")</f>
        <v>D</v>
      </c>
      <c r="J156" s="30"/>
    </row>
    <row r="157" spans="2:10" s="121" customFormat="1" ht="3" customHeight="1" x14ac:dyDescent="0.2">
      <c r="B157" s="260"/>
      <c r="C157" s="260"/>
      <c r="D157" s="30"/>
      <c r="E157" s="30"/>
      <c r="F157" s="296"/>
      <c r="G157" s="290"/>
      <c r="H157" s="290"/>
      <c r="I157" s="148"/>
      <c r="J157" s="30"/>
    </row>
    <row r="158" spans="2:10" s="121" customFormat="1" ht="36" customHeight="1" x14ac:dyDescent="0.2">
      <c r="B158" s="431" t="s">
        <v>528</v>
      </c>
      <c r="C158" s="431"/>
      <c r="D158" s="30"/>
      <c r="E158" s="30" t="s">
        <v>529</v>
      </c>
      <c r="F158" s="296"/>
      <c r="G158" s="290">
        <v>1</v>
      </c>
      <c r="H158" s="290" t="s">
        <v>5</v>
      </c>
      <c r="I158" s="148" t="str">
        <f>IF(Fprod_2=1, "D", "S")</f>
        <v>D</v>
      </c>
      <c r="J158" s="30" t="s">
        <v>530</v>
      </c>
    </row>
    <row r="159" spans="2:10" s="121" customFormat="1" x14ac:dyDescent="0.2">
      <c r="B159" s="260"/>
      <c r="C159" s="260"/>
      <c r="D159" s="30"/>
      <c r="E159" s="30"/>
      <c r="F159" s="296"/>
      <c r="G159" s="290"/>
      <c r="H159" s="290"/>
      <c r="I159" s="148"/>
      <c r="J159" s="30"/>
    </row>
    <row r="160" spans="2:10" s="121" customFormat="1" ht="13.5" thickBot="1" x14ac:dyDescent="0.25">
      <c r="B160" s="301"/>
      <c r="C160" s="302"/>
      <c r="D160" s="300"/>
      <c r="E160" s="300"/>
      <c r="F160" s="192"/>
      <c r="G160" s="300"/>
      <c r="H160" s="300"/>
      <c r="I160" s="300"/>
      <c r="J160" s="300"/>
    </row>
    <row r="161" spans="2:10" s="121" customFormat="1" ht="17.25" thickTop="1" thickBot="1" x14ac:dyDescent="0.25">
      <c r="B161" s="287" t="s">
        <v>488</v>
      </c>
      <c r="C161" s="267" t="s">
        <v>486</v>
      </c>
      <c r="D161" s="30"/>
      <c r="E161" s="134"/>
      <c r="F161" s="296"/>
      <c r="G161" s="286"/>
      <c r="H161" s="139"/>
      <c r="I161" s="139"/>
      <c r="J161" s="263"/>
    </row>
    <row r="162" spans="2:10" s="121" customFormat="1" ht="15.75" thickTop="1" thickBot="1" x14ac:dyDescent="0.25">
      <c r="B162" s="287"/>
      <c r="C162" s="30"/>
      <c r="D162" s="30"/>
      <c r="E162" s="30"/>
      <c r="F162" s="296"/>
      <c r="G162" s="30"/>
      <c r="H162" s="30"/>
      <c r="I162" s="30"/>
      <c r="J162" s="30"/>
    </row>
    <row r="163" spans="2:10" s="121" customFormat="1" ht="27" thickTop="1" thickBot="1" x14ac:dyDescent="0.25">
      <c r="B163" s="261" t="s">
        <v>535</v>
      </c>
      <c r="C163" s="267" t="s">
        <v>534</v>
      </c>
      <c r="D163" s="30"/>
      <c r="E163" s="30" t="s">
        <v>523</v>
      </c>
      <c r="F163" s="296"/>
      <c r="G163" s="274" t="str">
        <f>INDEX('Pick-lists &amp; Defaults'!C199:C203, MATCH(Leather_3,Select_leather_type,0))</f>
        <v>??</v>
      </c>
      <c r="H163" s="290" t="s">
        <v>5</v>
      </c>
      <c r="I163" s="290" t="s">
        <v>237</v>
      </c>
      <c r="J163" s="30" t="s">
        <v>629</v>
      </c>
    </row>
    <row r="164" spans="2:10" s="121" customFormat="1" ht="3" customHeight="1" thickTop="1" x14ac:dyDescent="0.2">
      <c r="B164" s="287"/>
      <c r="C164" s="30"/>
      <c r="D164" s="30"/>
      <c r="E164" s="30"/>
      <c r="F164" s="296"/>
      <c r="G164" s="30"/>
      <c r="H164" s="30"/>
      <c r="I164" s="30"/>
      <c r="J164" s="30"/>
    </row>
    <row r="165" spans="2:10" s="121" customFormat="1" ht="15" customHeight="1" x14ac:dyDescent="0.2">
      <c r="B165" s="262" t="s">
        <v>524</v>
      </c>
      <c r="C165" s="30"/>
      <c r="D165" s="30"/>
      <c r="E165" s="30" t="s">
        <v>525</v>
      </c>
      <c r="F165" s="296"/>
      <c r="G165" s="141"/>
      <c r="H165" s="290" t="s">
        <v>291</v>
      </c>
      <c r="I165" s="290" t="s">
        <v>18</v>
      </c>
      <c r="J165" s="30"/>
    </row>
    <row r="166" spans="2:10" s="121" customFormat="1" ht="3" customHeight="1" x14ac:dyDescent="0.2">
      <c r="B166" s="287"/>
      <c r="C166" s="30"/>
      <c r="D166" s="30"/>
      <c r="E166" s="30"/>
      <c r="F166" s="296"/>
      <c r="G166" s="30"/>
      <c r="H166" s="30"/>
      <c r="I166" s="30"/>
      <c r="J166" s="30"/>
    </row>
    <row r="167" spans="2:10" s="121" customFormat="1" ht="31.5" customHeight="1" x14ac:dyDescent="0.2">
      <c r="B167" s="431" t="s">
        <v>527</v>
      </c>
      <c r="C167" s="431"/>
      <c r="D167" s="30"/>
      <c r="E167" s="30" t="s">
        <v>457</v>
      </c>
      <c r="F167" s="296"/>
      <c r="G167" s="290">
        <v>0</v>
      </c>
      <c r="H167" s="290" t="s">
        <v>5</v>
      </c>
      <c r="I167" s="148" t="str">
        <f>IF(Ffix_3=0, "D", "S")</f>
        <v>D</v>
      </c>
      <c r="J167" s="30"/>
    </row>
    <row r="168" spans="2:10" s="121" customFormat="1" ht="3" customHeight="1" x14ac:dyDescent="0.2">
      <c r="B168" s="260"/>
      <c r="C168" s="260"/>
      <c r="D168" s="30"/>
      <c r="E168" s="30"/>
      <c r="F168" s="296"/>
      <c r="G168" s="290"/>
      <c r="H168" s="290"/>
      <c r="I168" s="148"/>
      <c r="J168" s="30"/>
    </row>
    <row r="169" spans="2:10" s="121" customFormat="1" ht="36" customHeight="1" x14ac:dyDescent="0.2">
      <c r="B169" s="431" t="s">
        <v>528</v>
      </c>
      <c r="C169" s="431"/>
      <c r="D169" s="30"/>
      <c r="E169" s="30" t="s">
        <v>529</v>
      </c>
      <c r="F169" s="296"/>
      <c r="G169" s="290">
        <v>1</v>
      </c>
      <c r="H169" s="290" t="s">
        <v>5</v>
      </c>
      <c r="I169" s="148" t="str">
        <f>IF(Fprod_3=1, "D", "S")</f>
        <v>D</v>
      </c>
      <c r="J169" s="30" t="s">
        <v>530</v>
      </c>
    </row>
    <row r="170" spans="2:10" s="121" customFormat="1" x14ac:dyDescent="0.2">
      <c r="B170" s="260"/>
      <c r="C170" s="260"/>
      <c r="D170" s="30"/>
      <c r="E170" s="30"/>
      <c r="F170" s="296"/>
      <c r="G170" s="290"/>
      <c r="H170" s="290"/>
      <c r="I170" s="148"/>
      <c r="J170" s="30"/>
    </row>
    <row r="171" spans="2:10" s="121" customFormat="1" ht="13.5" thickBot="1" x14ac:dyDescent="0.25">
      <c r="B171" s="301"/>
      <c r="C171" s="302"/>
      <c r="D171" s="300"/>
      <c r="E171" s="302"/>
      <c r="F171" s="192"/>
      <c r="G171" s="303"/>
      <c r="H171" s="197"/>
      <c r="I171" s="197"/>
      <c r="J171" s="304"/>
    </row>
    <row r="172" spans="2:10" s="121" customFormat="1" ht="17.25" thickTop="1" thickBot="1" x14ac:dyDescent="0.25">
      <c r="B172" s="287" t="s">
        <v>489</v>
      </c>
      <c r="C172" s="267" t="s">
        <v>486</v>
      </c>
      <c r="D172" s="30"/>
      <c r="E172" s="134"/>
      <c r="F172" s="296"/>
      <c r="G172" s="286"/>
      <c r="H172" s="139"/>
      <c r="I172" s="139"/>
      <c r="J172" s="292"/>
    </row>
    <row r="173" spans="2:10" s="121" customFormat="1" ht="15.75" thickTop="1" thickBot="1" x14ac:dyDescent="0.25">
      <c r="B173" s="287"/>
      <c r="C173" s="30"/>
      <c r="D173" s="30"/>
      <c r="E173" s="30"/>
      <c r="F173" s="296"/>
      <c r="G173" s="30"/>
      <c r="H173" s="30"/>
      <c r="I173" s="30"/>
      <c r="J173" s="30"/>
    </row>
    <row r="174" spans="2:10" s="121" customFormat="1" ht="27" thickTop="1" thickBot="1" x14ac:dyDescent="0.25">
      <c r="B174" s="261" t="s">
        <v>535</v>
      </c>
      <c r="C174" s="267" t="s">
        <v>534</v>
      </c>
      <c r="D174" s="30"/>
      <c r="E174" s="30" t="s">
        <v>523</v>
      </c>
      <c r="F174" s="296"/>
      <c r="G174" s="274" t="str">
        <f>INDEX('Pick-lists &amp; Defaults'!C199:C203, MATCH(Leather_4,Select_leather_type,0))</f>
        <v>??</v>
      </c>
      <c r="H174" s="290" t="s">
        <v>5</v>
      </c>
      <c r="I174" s="290" t="s">
        <v>237</v>
      </c>
      <c r="J174" s="30" t="s">
        <v>629</v>
      </c>
    </row>
    <row r="175" spans="2:10" s="121" customFormat="1" ht="3" customHeight="1" thickTop="1" x14ac:dyDescent="0.2">
      <c r="B175" s="287"/>
      <c r="C175" s="30"/>
      <c r="D175" s="30"/>
      <c r="E175" s="30"/>
      <c r="F175" s="296"/>
      <c r="G175" s="30"/>
      <c r="H175" s="30"/>
      <c r="I175" s="30"/>
      <c r="J175" s="30"/>
    </row>
    <row r="176" spans="2:10" s="121" customFormat="1" ht="15" customHeight="1" x14ac:dyDescent="0.2">
      <c r="B176" s="262" t="s">
        <v>524</v>
      </c>
      <c r="C176" s="30"/>
      <c r="D176" s="30"/>
      <c r="E176" s="30" t="s">
        <v>525</v>
      </c>
      <c r="F176" s="296"/>
      <c r="G176" s="141"/>
      <c r="H176" s="290" t="s">
        <v>291</v>
      </c>
      <c r="I176" s="290" t="s">
        <v>18</v>
      </c>
      <c r="J176" s="30"/>
    </row>
    <row r="177" spans="2:10" s="121" customFormat="1" ht="3" customHeight="1" x14ac:dyDescent="0.2">
      <c r="B177" s="287"/>
      <c r="C177" s="30"/>
      <c r="D177" s="30"/>
      <c r="E177" s="30"/>
      <c r="F177" s="296"/>
      <c r="G177" s="30"/>
      <c r="H177" s="30"/>
      <c r="I177" s="30"/>
      <c r="J177" s="30"/>
    </row>
    <row r="178" spans="2:10" s="121" customFormat="1" ht="31.5" customHeight="1" x14ac:dyDescent="0.2">
      <c r="B178" s="431" t="s">
        <v>527</v>
      </c>
      <c r="C178" s="431"/>
      <c r="D178" s="30"/>
      <c r="E178" s="30" t="s">
        <v>457</v>
      </c>
      <c r="F178" s="296"/>
      <c r="G178" s="290">
        <v>0</v>
      </c>
      <c r="H178" s="290" t="s">
        <v>5</v>
      </c>
      <c r="I178" s="148" t="str">
        <f>IF(Ffix_4=0, "D", "S")</f>
        <v>D</v>
      </c>
      <c r="J178" s="30"/>
    </row>
    <row r="179" spans="2:10" s="121" customFormat="1" ht="3" customHeight="1" x14ac:dyDescent="0.2">
      <c r="B179" s="260"/>
      <c r="C179" s="260"/>
      <c r="D179" s="30"/>
      <c r="E179" s="30"/>
      <c r="F179" s="296"/>
      <c r="G179" s="290"/>
      <c r="H179" s="290"/>
      <c r="I179" s="148"/>
      <c r="J179" s="30"/>
    </row>
    <row r="180" spans="2:10" s="121" customFormat="1" ht="36" customHeight="1" x14ac:dyDescent="0.2">
      <c r="B180" s="431" t="s">
        <v>528</v>
      </c>
      <c r="C180" s="431"/>
      <c r="D180" s="30"/>
      <c r="E180" s="30" t="s">
        <v>529</v>
      </c>
      <c r="F180" s="296"/>
      <c r="G180" s="290">
        <v>1</v>
      </c>
      <c r="H180" s="290" t="s">
        <v>5</v>
      </c>
      <c r="I180" s="148" t="str">
        <f>IF(Fprod_4=1, "D", "S")</f>
        <v>D</v>
      </c>
      <c r="J180" s="30" t="s">
        <v>530</v>
      </c>
    </row>
    <row r="181" spans="2:10" s="121" customFormat="1" x14ac:dyDescent="0.2">
      <c r="B181" s="290"/>
      <c r="C181" s="293"/>
      <c r="D181" s="30"/>
      <c r="E181" s="263"/>
      <c r="F181" s="296"/>
      <c r="G181" s="286"/>
      <c r="H181" s="139"/>
      <c r="I181" s="139"/>
      <c r="J181" s="292"/>
    </row>
    <row r="182" spans="2:10" s="121" customFormat="1" ht="15" x14ac:dyDescent="0.2">
      <c r="B182" s="131" t="s">
        <v>1</v>
      </c>
      <c r="C182" s="131"/>
      <c r="D182" s="131"/>
      <c r="E182" s="279"/>
      <c r="F182" s="279"/>
      <c r="G182" s="279"/>
      <c r="H182" s="279"/>
      <c r="I182" s="279"/>
      <c r="J182" s="280"/>
    </row>
    <row r="183" spans="2:10" s="121" customFormat="1" ht="3" customHeight="1" x14ac:dyDescent="0.2">
      <c r="B183" s="281"/>
      <c r="C183" s="281"/>
      <c r="D183" s="281"/>
      <c r="E183" s="281"/>
      <c r="F183" s="296"/>
      <c r="G183" s="281"/>
      <c r="H183" s="281"/>
      <c r="I183" s="281"/>
      <c r="J183" s="282"/>
    </row>
    <row r="184" spans="2:10" s="121" customFormat="1" ht="15" x14ac:dyDescent="0.2">
      <c r="B184" s="283" t="s">
        <v>2</v>
      </c>
      <c r="C184" s="283"/>
      <c r="D184" s="283"/>
      <c r="E184" s="284" t="s">
        <v>4</v>
      </c>
      <c r="F184" s="296"/>
      <c r="G184" s="285" t="s">
        <v>6</v>
      </c>
      <c r="H184" s="285" t="s">
        <v>3</v>
      </c>
      <c r="I184" s="285" t="s">
        <v>9</v>
      </c>
      <c r="J184" s="284" t="s">
        <v>15</v>
      </c>
    </row>
    <row r="185" spans="2:10" s="121" customFormat="1" ht="3" customHeight="1" x14ac:dyDescent="0.2">
      <c r="B185" s="283"/>
      <c r="C185" s="283"/>
      <c r="D185" s="283"/>
      <c r="E185" s="284"/>
      <c r="F185" s="296"/>
      <c r="G185" s="285"/>
      <c r="H185" s="285"/>
      <c r="I185" s="285"/>
      <c r="J185" s="284"/>
    </row>
    <row r="186" spans="2:10" s="121" customFormat="1" x14ac:dyDescent="0.2">
      <c r="B186" s="263" t="s">
        <v>533</v>
      </c>
      <c r="C186" s="293"/>
      <c r="D186" s="30"/>
      <c r="E186" s="263"/>
      <c r="F186" s="296"/>
      <c r="G186" s="286"/>
      <c r="H186" s="139"/>
      <c r="I186" s="139"/>
      <c r="J186" s="264"/>
    </row>
    <row r="187" spans="2:10" s="121" customFormat="1" x14ac:dyDescent="0.2">
      <c r="B187" s="263"/>
      <c r="C187" s="293"/>
      <c r="D187" s="30"/>
      <c r="E187" s="263"/>
      <c r="F187" s="296"/>
      <c r="G187" s="286"/>
      <c r="H187" s="139"/>
      <c r="I187" s="139"/>
      <c r="J187" s="292"/>
    </row>
    <row r="188" spans="2:10" s="121" customFormat="1" ht="15" x14ac:dyDescent="0.2">
      <c r="B188" s="290"/>
      <c r="C188" s="294" t="s">
        <v>490</v>
      </c>
      <c r="D188" s="30"/>
      <c r="E188" s="30" t="s">
        <v>491</v>
      </c>
      <c r="F188" s="296"/>
      <c r="G188" s="149" t="str">
        <f>IF(Select_treat_step1='Pick-lists &amp; Defaults'!B199,"??",IF(AND(ISNUMBER(Fin_can),ISNUMBER(Fremaining_1),ISNUMBER(Qform_1)),Qrawhide*Fremaining_1*Qform_1*Fin_can*(1-Ffix_1)*Fprod_1*(1-Fon_site_treat),"??"))</f>
        <v>??</v>
      </c>
      <c r="H188" s="139" t="s">
        <v>16</v>
      </c>
      <c r="I188" s="139" t="s">
        <v>7</v>
      </c>
      <c r="J188" s="460" t="s">
        <v>630</v>
      </c>
    </row>
    <row r="189" spans="2:10" s="121" customFormat="1" ht="15" x14ac:dyDescent="0.2">
      <c r="B189" s="290"/>
      <c r="C189" s="294" t="s">
        <v>492</v>
      </c>
      <c r="D189" s="30"/>
      <c r="E189" s="30" t="s">
        <v>493</v>
      </c>
      <c r="F189" s="296"/>
      <c r="G189" s="149" t="str">
        <f>IF(Select_treat_step2='Pick-lists &amp; Defaults'!B199,"??",IF(AND(ISNUMBER(Fin_can),ISNUMBER(Fremaining_2),ISNUMBER(Qform_2)),Qrawhide*Fremaining_2*Qform_2*Fin_can*(1-Ffix_2)*Fprod_2*(1-Fon_site_treat),"??"))</f>
        <v>??</v>
      </c>
      <c r="H189" s="139" t="s">
        <v>16</v>
      </c>
      <c r="I189" s="139" t="s">
        <v>7</v>
      </c>
      <c r="J189" s="460"/>
    </row>
    <row r="190" spans="2:10" s="121" customFormat="1" ht="15" x14ac:dyDescent="0.2">
      <c r="B190" s="290"/>
      <c r="C190" s="294" t="s">
        <v>494</v>
      </c>
      <c r="D190" s="30"/>
      <c r="E190" s="30" t="s">
        <v>495</v>
      </c>
      <c r="F190" s="296"/>
      <c r="G190" s="149" t="str">
        <f>IF(Select_treat_step3='Pick-lists &amp; Defaults'!B199,"??",IF(AND(ISNUMBER(Fin_can),ISNUMBER(Fremaining_3),ISNUMBER(Qform_3)),Qrawhide*Fremaining_3*Qform_3*Fin_can*(1-Ffix_3)*Fprod_3*(1-Fon_site_treat),"??"))</f>
        <v>??</v>
      </c>
      <c r="H190" s="139" t="s">
        <v>16</v>
      </c>
      <c r="I190" s="139" t="s">
        <v>7</v>
      </c>
      <c r="J190" s="460"/>
    </row>
    <row r="191" spans="2:10" s="121" customFormat="1" ht="15" x14ac:dyDescent="0.2">
      <c r="B191" s="290"/>
      <c r="C191" s="294" t="s">
        <v>496</v>
      </c>
      <c r="D191" s="30"/>
      <c r="E191" s="30" t="s">
        <v>497</v>
      </c>
      <c r="F191" s="296"/>
      <c r="G191" s="149" t="str">
        <f>IF(Select_treat_step4='Pick-lists &amp; Defaults'!B199,"??",IF(AND(ISNUMBER(Fin_can),ISNUMBER(Fremaining_4),ISNUMBER(Qform_4)),Qrawhide*Fremaining_4*Qform_4*Fin_can*(1-Ffix_4)*Fprod_4*(1-Fon_site_treat),"??"))</f>
        <v>??</v>
      </c>
      <c r="H191" s="139" t="s">
        <v>16</v>
      </c>
      <c r="I191" s="139" t="s">
        <v>7</v>
      </c>
      <c r="J191" s="460"/>
    </row>
    <row r="192" spans="2:10" s="121" customFormat="1" x14ac:dyDescent="0.2">
      <c r="B192" s="290"/>
      <c r="C192" s="260"/>
      <c r="D192" s="30"/>
      <c r="E192" s="30"/>
      <c r="F192" s="296"/>
      <c r="G192" s="30"/>
      <c r="H192" s="139"/>
      <c r="I192" s="139"/>
      <c r="J192" s="262"/>
    </row>
    <row r="193" spans="2:10" s="121" customFormat="1" ht="15" x14ac:dyDescent="0.2">
      <c r="B193" s="263" t="s">
        <v>498</v>
      </c>
      <c r="C193" s="263"/>
      <c r="D193" s="260"/>
      <c r="E193" s="30" t="s">
        <v>499</v>
      </c>
      <c r="F193" s="296"/>
      <c r="G193" s="149" t="str">
        <f>IF(OR(ISNUMBER(G188),ISNUMBER(G189),ISNUMBER(G190),ISNUMBER(G191)),SUMIF(G188:G191,"&gt;0")*Fpen,"??")</f>
        <v>??</v>
      </c>
      <c r="H193" s="139" t="s">
        <v>16</v>
      </c>
      <c r="I193" s="139" t="s">
        <v>7</v>
      </c>
      <c r="J193" s="262" t="s">
        <v>536</v>
      </c>
    </row>
    <row r="194" spans="2:10" s="121" customFormat="1" x14ac:dyDescent="0.2">
      <c r="B194" s="290"/>
      <c r="C194" s="293"/>
      <c r="D194" s="30"/>
      <c r="E194" s="263"/>
      <c r="F194" s="296"/>
      <c r="G194" s="286"/>
      <c r="H194" s="139"/>
      <c r="I194" s="139"/>
      <c r="J194" s="292"/>
    </row>
    <row r="195" spans="2:10" s="121" customFormat="1" x14ac:dyDescent="0.2">
      <c r="B195" s="143" t="s">
        <v>10</v>
      </c>
      <c r="J195" s="146"/>
    </row>
    <row r="196" spans="2:10" s="121" customFormat="1" x14ac:dyDescent="0.2">
      <c r="J196" s="146"/>
    </row>
    <row r="197" spans="2:10" s="121" customFormat="1" x14ac:dyDescent="0.2">
      <c r="B197" s="255" t="s">
        <v>422</v>
      </c>
      <c r="J197" s="146"/>
    </row>
    <row r="198" spans="2:10" s="121" customFormat="1" x14ac:dyDescent="0.2">
      <c r="B198" s="247"/>
      <c r="C198" s="247"/>
      <c r="D198" s="247"/>
      <c r="E198" s="247"/>
      <c r="F198" s="247"/>
      <c r="G198" s="247"/>
      <c r="H198" s="247"/>
      <c r="I198" s="247"/>
      <c r="J198" s="247"/>
    </row>
    <row r="199" spans="2:10" s="121" customFormat="1" x14ac:dyDescent="0.2">
      <c r="J199" s="146"/>
    </row>
    <row r="200" spans="2:10" s="121" customFormat="1" x14ac:dyDescent="0.2">
      <c r="J200" s="146"/>
    </row>
    <row r="201" spans="2:10" s="121" customFormat="1" x14ac:dyDescent="0.2">
      <c r="J201" s="146"/>
    </row>
    <row r="202" spans="2:10" s="121" customFormat="1" x14ac:dyDescent="0.2">
      <c r="J202" s="146"/>
    </row>
    <row r="203" spans="2:10" s="121" customFormat="1" x14ac:dyDescent="0.2">
      <c r="J203" s="146"/>
    </row>
    <row r="204" spans="2:10" s="121" customFormat="1" x14ac:dyDescent="0.2">
      <c r="J204" s="146"/>
    </row>
    <row r="205" spans="2:10" s="121" customFormat="1" x14ac:dyDescent="0.2">
      <c r="J205" s="146"/>
    </row>
    <row r="206" spans="2:10" s="121" customFormat="1" x14ac:dyDescent="0.2">
      <c r="J206" s="146"/>
    </row>
    <row r="207" spans="2:10" s="121" customFormat="1" x14ac:dyDescent="0.2">
      <c r="J207" s="146"/>
    </row>
    <row r="208" spans="2:10" s="121" customFormat="1" x14ac:dyDescent="0.2">
      <c r="J208" s="146"/>
    </row>
    <row r="209" spans="10:10" s="121" customFormat="1" x14ac:dyDescent="0.2">
      <c r="J209" s="146"/>
    </row>
    <row r="210" spans="10:10" s="121" customFormat="1" x14ac:dyDescent="0.2">
      <c r="J210" s="146"/>
    </row>
    <row r="211" spans="10:10" s="121" customFormat="1" x14ac:dyDescent="0.2">
      <c r="J211" s="146"/>
    </row>
    <row r="212" spans="10:10" s="121" customFormat="1" x14ac:dyDescent="0.2">
      <c r="J212" s="146"/>
    </row>
    <row r="213" spans="10:10" s="121" customFormat="1" x14ac:dyDescent="0.2">
      <c r="J213" s="146"/>
    </row>
    <row r="214" spans="10:10" s="121" customFormat="1" x14ac:dyDescent="0.2">
      <c r="J214" s="146"/>
    </row>
    <row r="215" spans="10:10" s="121" customFormat="1" x14ac:dyDescent="0.2">
      <c r="J215" s="146"/>
    </row>
    <row r="216" spans="10:10" s="121" customFormat="1" x14ac:dyDescent="0.2">
      <c r="J216" s="146"/>
    </row>
    <row r="217" spans="10:10" s="121" customFormat="1" x14ac:dyDescent="0.2">
      <c r="J217" s="146"/>
    </row>
    <row r="218" spans="10:10" s="121" customFormat="1" x14ac:dyDescent="0.2">
      <c r="J218" s="146"/>
    </row>
    <row r="219" spans="10:10" s="121" customFormat="1" x14ac:dyDescent="0.2">
      <c r="J219" s="146"/>
    </row>
    <row r="220" spans="10:10" s="121" customFormat="1" x14ac:dyDescent="0.2">
      <c r="J220" s="146"/>
    </row>
    <row r="221" spans="10:10" s="121" customFormat="1" x14ac:dyDescent="0.2">
      <c r="J221" s="146"/>
    </row>
    <row r="222" spans="10:10" s="121" customFormat="1" x14ac:dyDescent="0.2">
      <c r="J222" s="146"/>
    </row>
    <row r="223" spans="10:10" s="121" customFormat="1" x14ac:dyDescent="0.2">
      <c r="J223" s="146"/>
    </row>
    <row r="224" spans="10:10" s="121" customFormat="1" x14ac:dyDescent="0.2">
      <c r="J224" s="146"/>
    </row>
    <row r="225" spans="10:10" s="121" customFormat="1" x14ac:dyDescent="0.2">
      <c r="J225" s="146"/>
    </row>
    <row r="226" spans="10:10" s="121" customFormat="1" x14ac:dyDescent="0.2">
      <c r="J226" s="146"/>
    </row>
    <row r="227" spans="10:10" s="121" customFormat="1" x14ac:dyDescent="0.2">
      <c r="J227" s="146"/>
    </row>
    <row r="228" spans="10:10" s="121" customFormat="1" x14ac:dyDescent="0.2">
      <c r="J228" s="146"/>
    </row>
    <row r="229" spans="10:10" s="121" customFormat="1" x14ac:dyDescent="0.2">
      <c r="J229" s="146"/>
    </row>
    <row r="230" spans="10:10" s="121" customFormat="1" x14ac:dyDescent="0.2">
      <c r="J230" s="146"/>
    </row>
    <row r="231" spans="10:10" s="121" customFormat="1" x14ac:dyDescent="0.2">
      <c r="J231" s="146"/>
    </row>
    <row r="232" spans="10:10" s="121" customFormat="1" x14ac:dyDescent="0.2">
      <c r="J232" s="146"/>
    </row>
    <row r="233" spans="10:10" s="121" customFormat="1" x14ac:dyDescent="0.2">
      <c r="J233" s="146"/>
    </row>
    <row r="234" spans="10:10" s="121" customFormat="1" x14ac:dyDescent="0.2">
      <c r="J234" s="146"/>
    </row>
    <row r="235" spans="10:10" s="121" customFormat="1" x14ac:dyDescent="0.2">
      <c r="J235" s="146"/>
    </row>
    <row r="236" spans="10:10" s="121" customFormat="1" x14ac:dyDescent="0.2">
      <c r="J236" s="146"/>
    </row>
    <row r="237" spans="10:10" s="121" customFormat="1" x14ac:dyDescent="0.2">
      <c r="J237" s="146"/>
    </row>
    <row r="238" spans="10:10" s="121" customFormat="1" x14ac:dyDescent="0.2">
      <c r="J238" s="146"/>
    </row>
    <row r="239" spans="10:10" s="121" customFormat="1" x14ac:dyDescent="0.2">
      <c r="J239" s="146"/>
    </row>
    <row r="240" spans="10:10" s="121" customFormat="1" x14ac:dyDescent="0.2">
      <c r="J240" s="146"/>
    </row>
    <row r="241" spans="10:10" s="121" customFormat="1" x14ac:dyDescent="0.2">
      <c r="J241" s="146"/>
    </row>
    <row r="242" spans="10:10" s="121" customFormat="1" x14ac:dyDescent="0.2">
      <c r="J242" s="146"/>
    </row>
    <row r="243" spans="10:10" s="121" customFormat="1" x14ac:dyDescent="0.2">
      <c r="J243" s="146"/>
    </row>
    <row r="244" spans="10:10" s="121" customFormat="1" x14ac:dyDescent="0.2">
      <c r="J244" s="146"/>
    </row>
    <row r="245" spans="10:10" s="121" customFormat="1" x14ac:dyDescent="0.2">
      <c r="J245" s="146"/>
    </row>
    <row r="246" spans="10:10" s="121" customFormat="1" x14ac:dyDescent="0.2">
      <c r="J246" s="146"/>
    </row>
    <row r="247" spans="10:10" s="121" customFormat="1" x14ac:dyDescent="0.2">
      <c r="J247" s="146"/>
    </row>
    <row r="248" spans="10:10" s="121" customFormat="1" x14ac:dyDescent="0.2">
      <c r="J248" s="146"/>
    </row>
    <row r="249" spans="10:10" s="121" customFormat="1" x14ac:dyDescent="0.2">
      <c r="J249" s="146"/>
    </row>
    <row r="250" spans="10:10" s="121" customFormat="1" x14ac:dyDescent="0.2">
      <c r="J250" s="146"/>
    </row>
    <row r="251" spans="10:10" s="121" customFormat="1" x14ac:dyDescent="0.2">
      <c r="J251" s="146"/>
    </row>
    <row r="252" spans="10:10" s="121" customFormat="1" x14ac:dyDescent="0.2">
      <c r="J252" s="146"/>
    </row>
    <row r="253" spans="10:10" s="121" customFormat="1" x14ac:dyDescent="0.2">
      <c r="J253" s="146"/>
    </row>
    <row r="254" spans="10:10" s="121" customFormat="1" x14ac:dyDescent="0.2">
      <c r="J254" s="146"/>
    </row>
    <row r="255" spans="10:10" s="121" customFormat="1" x14ac:dyDescent="0.2">
      <c r="J255" s="146"/>
    </row>
    <row r="256" spans="10:10" s="121" customFormat="1" x14ac:dyDescent="0.2">
      <c r="J256" s="146"/>
    </row>
    <row r="257" spans="10:10" s="121" customFormat="1" x14ac:dyDescent="0.2">
      <c r="J257" s="146"/>
    </row>
    <row r="258" spans="10:10" s="121" customFormat="1" x14ac:dyDescent="0.2">
      <c r="J258" s="146"/>
    </row>
    <row r="259" spans="10:10" s="121" customFormat="1" x14ac:dyDescent="0.2">
      <c r="J259" s="146"/>
    </row>
    <row r="260" spans="10:10" s="121" customFormat="1" x14ac:dyDescent="0.2">
      <c r="J260" s="146"/>
    </row>
    <row r="261" spans="10:10" s="121" customFormat="1" x14ac:dyDescent="0.2">
      <c r="J261" s="146"/>
    </row>
    <row r="262" spans="10:10" s="121" customFormat="1" x14ac:dyDescent="0.2">
      <c r="J262" s="146"/>
    </row>
    <row r="263" spans="10:10" s="121" customFormat="1" x14ac:dyDescent="0.2">
      <c r="J263" s="146"/>
    </row>
    <row r="264" spans="10:10" s="121" customFormat="1" x14ac:dyDescent="0.2">
      <c r="J264" s="146"/>
    </row>
    <row r="265" spans="10:10" s="121" customFormat="1" x14ac:dyDescent="0.2">
      <c r="J265" s="146"/>
    </row>
    <row r="266" spans="10:10" s="121" customFormat="1" x14ac:dyDescent="0.2">
      <c r="J266" s="146"/>
    </row>
    <row r="267" spans="10:10" s="121" customFormat="1" x14ac:dyDescent="0.2">
      <c r="J267" s="146"/>
    </row>
    <row r="268" spans="10:10" s="121" customFormat="1" x14ac:dyDescent="0.2">
      <c r="J268" s="146"/>
    </row>
    <row r="269" spans="10:10" s="121" customFormat="1" x14ac:dyDescent="0.2">
      <c r="J269" s="146"/>
    </row>
    <row r="270" spans="10:10" s="121" customFormat="1" x14ac:dyDescent="0.2">
      <c r="J270" s="146"/>
    </row>
    <row r="271" spans="10:10" s="121" customFormat="1" x14ac:dyDescent="0.2">
      <c r="J271" s="146"/>
    </row>
    <row r="272" spans="10:10" s="121" customFormat="1" x14ac:dyDescent="0.2">
      <c r="J272" s="146"/>
    </row>
    <row r="273" spans="10:10" s="121" customFormat="1" x14ac:dyDescent="0.2">
      <c r="J273" s="146"/>
    </row>
    <row r="274" spans="10:10" s="121" customFormat="1" x14ac:dyDescent="0.2">
      <c r="J274" s="146"/>
    </row>
    <row r="275" spans="10:10" s="121" customFormat="1" x14ac:dyDescent="0.2">
      <c r="J275" s="146"/>
    </row>
    <row r="276" spans="10:10" s="121" customFormat="1" x14ac:dyDescent="0.2">
      <c r="J276" s="146"/>
    </row>
    <row r="277" spans="10:10" s="121" customFormat="1" x14ac:dyDescent="0.2">
      <c r="J277" s="146"/>
    </row>
    <row r="278" spans="10:10" s="121" customFormat="1" x14ac:dyDescent="0.2">
      <c r="J278" s="146"/>
    </row>
    <row r="279" spans="10:10" s="121" customFormat="1" x14ac:dyDescent="0.2">
      <c r="J279" s="146"/>
    </row>
    <row r="280" spans="10:10" s="121" customFormat="1" x14ac:dyDescent="0.2">
      <c r="J280" s="146"/>
    </row>
    <row r="281" spans="10:10" s="121" customFormat="1" x14ac:dyDescent="0.2">
      <c r="J281" s="146"/>
    </row>
    <row r="282" spans="10:10" s="121" customFormat="1" x14ac:dyDescent="0.2">
      <c r="J282" s="146"/>
    </row>
    <row r="283" spans="10:10" s="121" customFormat="1" x14ac:dyDescent="0.2">
      <c r="J283" s="146"/>
    </row>
    <row r="284" spans="10:10" s="121" customFormat="1" x14ac:dyDescent="0.2">
      <c r="J284" s="146"/>
    </row>
    <row r="285" spans="10:10" s="121" customFormat="1" x14ac:dyDescent="0.2">
      <c r="J285" s="146"/>
    </row>
    <row r="286" spans="10:10" s="121" customFormat="1" x14ac:dyDescent="0.2">
      <c r="J286" s="146"/>
    </row>
    <row r="287" spans="10:10" s="121" customFormat="1" x14ac:dyDescent="0.2">
      <c r="J287" s="146"/>
    </row>
    <row r="288" spans="10:10" s="121" customFormat="1" x14ac:dyDescent="0.2">
      <c r="J288" s="146"/>
    </row>
    <row r="289" spans="10:10" s="121" customFormat="1" x14ac:dyDescent="0.2">
      <c r="J289" s="146"/>
    </row>
    <row r="290" spans="10:10" s="121" customFormat="1" x14ac:dyDescent="0.2">
      <c r="J290" s="146"/>
    </row>
    <row r="291" spans="10:10" s="121" customFormat="1" x14ac:dyDescent="0.2">
      <c r="J291" s="146"/>
    </row>
    <row r="292" spans="10:10" s="121" customFormat="1" x14ac:dyDescent="0.2">
      <c r="J292" s="146"/>
    </row>
    <row r="293" spans="10:10" s="121" customFormat="1" x14ac:dyDescent="0.2">
      <c r="J293" s="146"/>
    </row>
    <row r="294" spans="10:10" s="121" customFormat="1" x14ac:dyDescent="0.2">
      <c r="J294" s="146"/>
    </row>
    <row r="295" spans="10:10" s="121" customFormat="1" x14ac:dyDescent="0.2">
      <c r="J295" s="146"/>
    </row>
    <row r="296" spans="10:10" s="121" customFormat="1" x14ac:dyDescent="0.2">
      <c r="J296" s="146"/>
    </row>
    <row r="297" spans="10:10" s="121" customFormat="1" x14ac:dyDescent="0.2">
      <c r="J297" s="146"/>
    </row>
    <row r="298" spans="10:10" s="121" customFormat="1" x14ac:dyDescent="0.2">
      <c r="J298" s="146"/>
    </row>
    <row r="299" spans="10:10" s="121" customFormat="1" x14ac:dyDescent="0.2">
      <c r="J299" s="146"/>
    </row>
    <row r="300" spans="10:10" s="121" customFormat="1" x14ac:dyDescent="0.2">
      <c r="J300" s="146"/>
    </row>
    <row r="301" spans="10:10" s="121" customFormat="1" x14ac:dyDescent="0.2">
      <c r="J301" s="146"/>
    </row>
    <row r="302" spans="10:10" s="121" customFormat="1" x14ac:dyDescent="0.2">
      <c r="J302" s="146"/>
    </row>
    <row r="303" spans="10:10" s="121" customFormat="1" x14ac:dyDescent="0.2">
      <c r="J303" s="146"/>
    </row>
    <row r="304" spans="10:10" s="121" customFormat="1" x14ac:dyDescent="0.2">
      <c r="J304" s="146"/>
    </row>
    <row r="305" spans="10:10" s="121" customFormat="1" x14ac:dyDescent="0.2">
      <c r="J305" s="146"/>
    </row>
    <row r="306" spans="10:10" s="121" customFormat="1" x14ac:dyDescent="0.2">
      <c r="J306" s="146"/>
    </row>
    <row r="307" spans="10:10" s="121" customFormat="1" x14ac:dyDescent="0.2">
      <c r="J307" s="146"/>
    </row>
    <row r="308" spans="10:10" s="121" customFormat="1" x14ac:dyDescent="0.2">
      <c r="J308" s="146"/>
    </row>
    <row r="309" spans="10:10" s="121" customFormat="1" x14ac:dyDescent="0.2">
      <c r="J309" s="146"/>
    </row>
    <row r="310" spans="10:10" s="121" customFormat="1" x14ac:dyDescent="0.2">
      <c r="J310" s="146"/>
    </row>
    <row r="311" spans="10:10" s="121" customFormat="1" x14ac:dyDescent="0.2">
      <c r="J311" s="146"/>
    </row>
    <row r="312" spans="10:10" s="121" customFormat="1" x14ac:dyDescent="0.2">
      <c r="J312" s="146"/>
    </row>
    <row r="313" spans="10:10" s="121" customFormat="1" x14ac:dyDescent="0.2">
      <c r="J313" s="146"/>
    </row>
    <row r="314" spans="10:10" s="121" customFormat="1" x14ac:dyDescent="0.2">
      <c r="J314" s="146"/>
    </row>
    <row r="315" spans="10:10" s="121" customFormat="1" x14ac:dyDescent="0.2">
      <c r="J315" s="146"/>
    </row>
    <row r="316" spans="10:10" s="121" customFormat="1" x14ac:dyDescent="0.2">
      <c r="J316" s="146"/>
    </row>
    <row r="317" spans="10:10" s="121" customFormat="1" x14ac:dyDescent="0.2">
      <c r="J317" s="146"/>
    </row>
    <row r="318" spans="10:10" s="121" customFormat="1" x14ac:dyDescent="0.2">
      <c r="J318" s="146"/>
    </row>
    <row r="319" spans="10:10" s="121" customFormat="1" x14ac:dyDescent="0.2">
      <c r="J319" s="146"/>
    </row>
    <row r="320" spans="10:10" s="121" customFormat="1" x14ac:dyDescent="0.2">
      <c r="J320" s="146"/>
    </row>
    <row r="321" spans="10:10" s="121" customFormat="1" x14ac:dyDescent="0.2">
      <c r="J321" s="146"/>
    </row>
    <row r="322" spans="10:10" s="121" customFormat="1" x14ac:dyDescent="0.2">
      <c r="J322" s="146"/>
    </row>
    <row r="323" spans="10:10" s="121" customFormat="1" x14ac:dyDescent="0.2">
      <c r="J323" s="146"/>
    </row>
    <row r="324" spans="10:10" s="121" customFormat="1" x14ac:dyDescent="0.2">
      <c r="J324" s="146"/>
    </row>
    <row r="325" spans="10:10" s="121" customFormat="1" x14ac:dyDescent="0.2">
      <c r="J325" s="146"/>
    </row>
    <row r="326" spans="10:10" s="121" customFormat="1" x14ac:dyDescent="0.2">
      <c r="J326" s="146"/>
    </row>
    <row r="327" spans="10:10" s="121" customFormat="1" x14ac:dyDescent="0.2">
      <c r="J327" s="146"/>
    </row>
    <row r="328" spans="10:10" s="121" customFormat="1" x14ac:dyDescent="0.2">
      <c r="J328" s="146"/>
    </row>
    <row r="329" spans="10:10" s="121" customFormat="1" x14ac:dyDescent="0.2">
      <c r="J329" s="146"/>
    </row>
    <row r="330" spans="10:10" s="121" customFormat="1" x14ac:dyDescent="0.2">
      <c r="J330" s="146"/>
    </row>
    <row r="331" spans="10:10" s="121" customFormat="1" x14ac:dyDescent="0.2">
      <c r="J331" s="146"/>
    </row>
    <row r="332" spans="10:10" s="121" customFormat="1" x14ac:dyDescent="0.2">
      <c r="J332" s="146"/>
    </row>
    <row r="333" spans="10:10" s="121" customFormat="1" x14ac:dyDescent="0.2">
      <c r="J333" s="146"/>
    </row>
    <row r="334" spans="10:10" s="121" customFormat="1" x14ac:dyDescent="0.2">
      <c r="J334" s="146"/>
    </row>
    <row r="335" spans="10:10" s="121" customFormat="1" x14ac:dyDescent="0.2">
      <c r="J335" s="146"/>
    </row>
    <row r="336" spans="10:10" s="121" customFormat="1" x14ac:dyDescent="0.2">
      <c r="J336" s="146"/>
    </row>
    <row r="337" spans="10:10" s="121" customFormat="1" x14ac:dyDescent="0.2">
      <c r="J337" s="146"/>
    </row>
    <row r="338" spans="10:10" s="121" customFormat="1" x14ac:dyDescent="0.2">
      <c r="J338" s="146"/>
    </row>
    <row r="339" spans="10:10" s="121" customFormat="1" x14ac:dyDescent="0.2">
      <c r="J339" s="146"/>
    </row>
    <row r="340" spans="10:10" s="121" customFormat="1" x14ac:dyDescent="0.2">
      <c r="J340" s="146"/>
    </row>
    <row r="341" spans="10:10" s="121" customFormat="1" x14ac:dyDescent="0.2">
      <c r="J341" s="146"/>
    </row>
    <row r="342" spans="10:10" s="121" customFormat="1" x14ac:dyDescent="0.2">
      <c r="J342" s="146"/>
    </row>
    <row r="343" spans="10:10" s="121" customFormat="1" x14ac:dyDescent="0.2">
      <c r="J343" s="146"/>
    </row>
    <row r="344" spans="10:10" s="121" customFormat="1" x14ac:dyDescent="0.2">
      <c r="J344" s="146"/>
    </row>
    <row r="345" spans="10:10" s="121" customFormat="1" x14ac:dyDescent="0.2">
      <c r="J345" s="146"/>
    </row>
    <row r="346" spans="10:10" s="121" customFormat="1" x14ac:dyDescent="0.2">
      <c r="J346" s="146"/>
    </row>
    <row r="347" spans="10:10" s="121" customFormat="1" x14ac:dyDescent="0.2">
      <c r="J347" s="146"/>
    </row>
    <row r="348" spans="10:10" s="121" customFormat="1" x14ac:dyDescent="0.2">
      <c r="J348" s="146"/>
    </row>
    <row r="349" spans="10:10" s="121" customFormat="1" x14ac:dyDescent="0.2">
      <c r="J349" s="146"/>
    </row>
    <row r="350" spans="10:10" s="121" customFormat="1" x14ac:dyDescent="0.2">
      <c r="J350" s="146"/>
    </row>
    <row r="351" spans="10:10" s="121" customFormat="1" x14ac:dyDescent="0.2">
      <c r="J351" s="146"/>
    </row>
    <row r="352" spans="10:10" s="121" customFormat="1" x14ac:dyDescent="0.2">
      <c r="J352" s="146"/>
    </row>
    <row r="353" spans="10:10" s="121" customFormat="1" x14ac:dyDescent="0.2">
      <c r="J353" s="146"/>
    </row>
    <row r="354" spans="10:10" s="121" customFormat="1" x14ac:dyDescent="0.2">
      <c r="J354" s="146"/>
    </row>
    <row r="355" spans="10:10" s="121" customFormat="1" x14ac:dyDescent="0.2">
      <c r="J355" s="146"/>
    </row>
    <row r="356" spans="10:10" s="121" customFormat="1" x14ac:dyDescent="0.2">
      <c r="J356" s="146"/>
    </row>
    <row r="357" spans="10:10" s="121" customFormat="1" x14ac:dyDescent="0.2">
      <c r="J357" s="146"/>
    </row>
    <row r="358" spans="10:10" s="121" customFormat="1" x14ac:dyDescent="0.2">
      <c r="J358" s="146"/>
    </row>
    <row r="359" spans="10:10" s="121" customFormat="1" x14ac:dyDescent="0.2">
      <c r="J359" s="146"/>
    </row>
    <row r="360" spans="10:10" s="121" customFormat="1" x14ac:dyDescent="0.2">
      <c r="J360" s="146"/>
    </row>
    <row r="361" spans="10:10" s="121" customFormat="1" x14ac:dyDescent="0.2">
      <c r="J361" s="146"/>
    </row>
    <row r="362" spans="10:10" s="121" customFormat="1" x14ac:dyDescent="0.2">
      <c r="J362" s="146"/>
    </row>
    <row r="363" spans="10:10" s="121" customFormat="1" x14ac:dyDescent="0.2">
      <c r="J363" s="146"/>
    </row>
    <row r="364" spans="10:10" s="121" customFormat="1" x14ac:dyDescent="0.2">
      <c r="J364" s="146"/>
    </row>
    <row r="365" spans="10:10" s="121" customFormat="1" x14ac:dyDescent="0.2">
      <c r="J365" s="146"/>
    </row>
    <row r="366" spans="10:10" s="121" customFormat="1" x14ac:dyDescent="0.2">
      <c r="J366" s="146"/>
    </row>
    <row r="367" spans="10:10" s="121" customFormat="1" x14ac:dyDescent="0.2">
      <c r="J367" s="146"/>
    </row>
    <row r="368" spans="10:10" s="121" customFormat="1" x14ac:dyDescent="0.2">
      <c r="J368" s="146"/>
    </row>
    <row r="369" spans="10:10" s="121" customFormat="1" x14ac:dyDescent="0.2">
      <c r="J369" s="146"/>
    </row>
    <row r="370" spans="10:10" s="121" customFormat="1" x14ac:dyDescent="0.2">
      <c r="J370" s="146"/>
    </row>
    <row r="371" spans="10:10" s="121" customFormat="1" x14ac:dyDescent="0.2">
      <c r="J371" s="146"/>
    </row>
    <row r="372" spans="10:10" s="121" customFormat="1" x14ac:dyDescent="0.2">
      <c r="J372" s="146"/>
    </row>
    <row r="373" spans="10:10" s="121" customFormat="1" x14ac:dyDescent="0.2">
      <c r="J373" s="146"/>
    </row>
    <row r="374" spans="10:10" s="121" customFormat="1" x14ac:dyDescent="0.2">
      <c r="J374" s="146"/>
    </row>
    <row r="375" spans="10:10" s="121" customFormat="1" x14ac:dyDescent="0.2">
      <c r="J375" s="146"/>
    </row>
    <row r="376" spans="10:10" s="121" customFormat="1" x14ac:dyDescent="0.2">
      <c r="J376" s="146"/>
    </row>
    <row r="377" spans="10:10" s="121" customFormat="1" x14ac:dyDescent="0.2">
      <c r="J377" s="146"/>
    </row>
    <row r="378" spans="10:10" s="121" customFormat="1" x14ac:dyDescent="0.2">
      <c r="J378" s="146"/>
    </row>
    <row r="379" spans="10:10" s="121" customFormat="1" x14ac:dyDescent="0.2">
      <c r="J379" s="146"/>
    </row>
    <row r="380" spans="10:10" s="121" customFormat="1" x14ac:dyDescent="0.2">
      <c r="J380" s="146"/>
    </row>
    <row r="381" spans="10:10" s="121" customFormat="1" x14ac:dyDescent="0.2">
      <c r="J381" s="146"/>
    </row>
    <row r="382" spans="10:10" s="121" customFormat="1" x14ac:dyDescent="0.2">
      <c r="J382" s="146"/>
    </row>
    <row r="383" spans="10:10" s="121" customFormat="1" x14ac:dyDescent="0.2">
      <c r="J383" s="146"/>
    </row>
    <row r="384" spans="10:10" s="121" customFormat="1" x14ac:dyDescent="0.2">
      <c r="J384" s="146"/>
    </row>
    <row r="385" spans="10:10" s="121" customFormat="1" x14ac:dyDescent="0.2">
      <c r="J385" s="146"/>
    </row>
    <row r="386" spans="10:10" s="121" customFormat="1" x14ac:dyDescent="0.2">
      <c r="J386" s="146"/>
    </row>
    <row r="387" spans="10:10" s="121" customFormat="1" x14ac:dyDescent="0.2">
      <c r="J387" s="146"/>
    </row>
    <row r="388" spans="10:10" s="121" customFormat="1" x14ac:dyDescent="0.2">
      <c r="J388" s="146"/>
    </row>
    <row r="389" spans="10:10" s="121" customFormat="1" x14ac:dyDescent="0.2">
      <c r="J389" s="146"/>
    </row>
    <row r="390" spans="10:10" s="121" customFormat="1" x14ac:dyDescent="0.2">
      <c r="J390" s="146"/>
    </row>
    <row r="391" spans="10:10" s="121" customFormat="1" x14ac:dyDescent="0.2">
      <c r="J391" s="146"/>
    </row>
    <row r="392" spans="10:10" s="121" customFormat="1" x14ac:dyDescent="0.2">
      <c r="J392" s="146"/>
    </row>
    <row r="393" spans="10:10" s="121" customFormat="1" x14ac:dyDescent="0.2">
      <c r="J393" s="146"/>
    </row>
    <row r="394" spans="10:10" s="121" customFormat="1" x14ac:dyDescent="0.2">
      <c r="J394" s="146"/>
    </row>
    <row r="395" spans="10:10" s="121" customFormat="1" x14ac:dyDescent="0.2">
      <c r="J395" s="146"/>
    </row>
    <row r="396" spans="10:10" s="121" customFormat="1" x14ac:dyDescent="0.2">
      <c r="J396" s="146"/>
    </row>
    <row r="397" spans="10:10" s="121" customFormat="1" x14ac:dyDescent="0.2">
      <c r="J397" s="146"/>
    </row>
    <row r="398" spans="10:10" s="121" customFormat="1" x14ac:dyDescent="0.2">
      <c r="J398" s="146"/>
    </row>
    <row r="399" spans="10:10" s="121" customFormat="1" x14ac:dyDescent="0.2">
      <c r="J399" s="146"/>
    </row>
    <row r="400" spans="10:10" s="121" customFormat="1" x14ac:dyDescent="0.2">
      <c r="J400" s="146"/>
    </row>
    <row r="401" spans="10:10" s="121" customFormat="1" x14ac:dyDescent="0.2">
      <c r="J401" s="146"/>
    </row>
    <row r="402" spans="10:10" s="121" customFormat="1" x14ac:dyDescent="0.2">
      <c r="J402" s="146"/>
    </row>
    <row r="403" spans="10:10" s="121" customFormat="1" x14ac:dyDescent="0.2">
      <c r="J403" s="146"/>
    </row>
    <row r="404" spans="10:10" s="121" customFormat="1" x14ac:dyDescent="0.2">
      <c r="J404" s="146"/>
    </row>
    <row r="405" spans="10:10" s="121" customFormat="1" x14ac:dyDescent="0.2">
      <c r="J405" s="146"/>
    </row>
    <row r="406" spans="10:10" s="121" customFormat="1" x14ac:dyDescent="0.2">
      <c r="J406" s="146"/>
    </row>
    <row r="407" spans="10:10" s="121" customFormat="1" x14ac:dyDescent="0.2">
      <c r="J407" s="146"/>
    </row>
    <row r="408" spans="10:10" s="121" customFormat="1" x14ac:dyDescent="0.2">
      <c r="J408" s="146"/>
    </row>
    <row r="409" spans="10:10" s="121" customFormat="1" x14ac:dyDescent="0.2">
      <c r="J409" s="146"/>
    </row>
    <row r="410" spans="10:10" s="121" customFormat="1" x14ac:dyDescent="0.2">
      <c r="J410" s="146"/>
    </row>
    <row r="411" spans="10:10" s="121" customFormat="1" x14ac:dyDescent="0.2">
      <c r="J411" s="146"/>
    </row>
    <row r="412" spans="10:10" s="121" customFormat="1" x14ac:dyDescent="0.2">
      <c r="J412" s="146"/>
    </row>
    <row r="413" spans="10:10" s="121" customFormat="1" x14ac:dyDescent="0.2">
      <c r="J413" s="146"/>
    </row>
    <row r="414" spans="10:10" s="121" customFormat="1" x14ac:dyDescent="0.2">
      <c r="J414" s="146"/>
    </row>
    <row r="415" spans="10:10" s="121" customFormat="1" x14ac:dyDescent="0.2">
      <c r="J415" s="146"/>
    </row>
    <row r="416" spans="10:10" s="121" customFormat="1" x14ac:dyDescent="0.2">
      <c r="J416" s="146"/>
    </row>
    <row r="417" spans="10:10" s="121" customFormat="1" x14ac:dyDescent="0.2">
      <c r="J417" s="146"/>
    </row>
    <row r="418" spans="10:10" s="121" customFormat="1" x14ac:dyDescent="0.2">
      <c r="J418" s="146"/>
    </row>
    <row r="419" spans="10:10" s="121" customFormat="1" x14ac:dyDescent="0.2">
      <c r="J419" s="146"/>
    </row>
    <row r="420" spans="10:10" s="121" customFormat="1" x14ac:dyDescent="0.2">
      <c r="J420" s="146"/>
    </row>
    <row r="421" spans="10:10" s="121" customFormat="1" x14ac:dyDescent="0.2">
      <c r="J421" s="146"/>
    </row>
    <row r="422" spans="10:10" s="121" customFormat="1" x14ac:dyDescent="0.2">
      <c r="J422" s="146"/>
    </row>
    <row r="423" spans="10:10" s="121" customFormat="1" x14ac:dyDescent="0.2">
      <c r="J423" s="146"/>
    </row>
    <row r="424" spans="10:10" s="121" customFormat="1" x14ac:dyDescent="0.2">
      <c r="J424" s="146"/>
    </row>
    <row r="425" spans="10:10" s="121" customFormat="1" x14ac:dyDescent="0.2">
      <c r="J425" s="146"/>
    </row>
    <row r="426" spans="10:10" s="121" customFormat="1" x14ac:dyDescent="0.2">
      <c r="J426" s="146"/>
    </row>
    <row r="427" spans="10:10" s="121" customFormat="1" x14ac:dyDescent="0.2">
      <c r="J427" s="146"/>
    </row>
    <row r="428" spans="10:10" s="121" customFormat="1" x14ac:dyDescent="0.2">
      <c r="J428" s="146"/>
    </row>
    <row r="429" spans="10:10" s="121" customFormat="1" x14ac:dyDescent="0.2">
      <c r="J429" s="146"/>
    </row>
    <row r="430" spans="10:10" s="121" customFormat="1" x14ac:dyDescent="0.2">
      <c r="J430" s="146"/>
    </row>
    <row r="431" spans="10:10" s="121" customFormat="1" x14ac:dyDescent="0.2">
      <c r="J431" s="146"/>
    </row>
    <row r="432" spans="10:10" s="121" customFormat="1" x14ac:dyDescent="0.2">
      <c r="J432" s="146"/>
    </row>
    <row r="433" spans="10:10" s="121" customFormat="1" x14ac:dyDescent="0.2">
      <c r="J433" s="146"/>
    </row>
    <row r="434" spans="10:10" s="121" customFormat="1" x14ac:dyDescent="0.2">
      <c r="J434" s="146"/>
    </row>
    <row r="435" spans="10:10" s="121" customFormat="1" x14ac:dyDescent="0.2">
      <c r="J435" s="146"/>
    </row>
    <row r="436" spans="10:10" s="121" customFormat="1" x14ac:dyDescent="0.2">
      <c r="J436" s="146"/>
    </row>
    <row r="437" spans="10:10" s="121" customFormat="1" x14ac:dyDescent="0.2">
      <c r="J437" s="146"/>
    </row>
    <row r="438" spans="10:10" s="121" customFormat="1" x14ac:dyDescent="0.2">
      <c r="J438" s="146"/>
    </row>
    <row r="439" spans="10:10" s="121" customFormat="1" x14ac:dyDescent="0.2">
      <c r="J439" s="146"/>
    </row>
    <row r="440" spans="10:10" s="121" customFormat="1" x14ac:dyDescent="0.2">
      <c r="J440" s="146"/>
    </row>
    <row r="441" spans="10:10" s="121" customFormat="1" x14ac:dyDescent="0.2">
      <c r="J441" s="146"/>
    </row>
    <row r="442" spans="10:10" s="121" customFormat="1" x14ac:dyDescent="0.2">
      <c r="J442" s="146"/>
    </row>
    <row r="443" spans="10:10" s="121" customFormat="1" x14ac:dyDescent="0.2">
      <c r="J443" s="146"/>
    </row>
    <row r="444" spans="10:10" s="121" customFormat="1" x14ac:dyDescent="0.2">
      <c r="J444" s="146"/>
    </row>
    <row r="445" spans="10:10" s="121" customFormat="1" x14ac:dyDescent="0.2">
      <c r="J445" s="146"/>
    </row>
    <row r="446" spans="10:10" s="121" customFormat="1" x14ac:dyDescent="0.2">
      <c r="J446" s="146"/>
    </row>
    <row r="447" spans="10:10" s="121" customFormat="1" x14ac:dyDescent="0.2">
      <c r="J447" s="146"/>
    </row>
    <row r="448" spans="10:10" s="121" customFormat="1" x14ac:dyDescent="0.2">
      <c r="J448" s="146"/>
    </row>
    <row r="449" spans="10:10" s="121" customFormat="1" x14ac:dyDescent="0.2">
      <c r="J449" s="146"/>
    </row>
    <row r="450" spans="10:10" s="121" customFormat="1" x14ac:dyDescent="0.2">
      <c r="J450" s="146"/>
    </row>
    <row r="451" spans="10:10" s="121" customFormat="1" x14ac:dyDescent="0.2">
      <c r="J451" s="146"/>
    </row>
    <row r="452" spans="10:10" s="121" customFormat="1" x14ac:dyDescent="0.2">
      <c r="J452" s="146"/>
    </row>
    <row r="453" spans="10:10" s="121" customFormat="1" x14ac:dyDescent="0.2">
      <c r="J453" s="146"/>
    </row>
    <row r="454" spans="10:10" s="121" customFormat="1" x14ac:dyDescent="0.2">
      <c r="J454" s="146"/>
    </row>
    <row r="455" spans="10:10" s="121" customFormat="1" x14ac:dyDescent="0.2">
      <c r="J455" s="146"/>
    </row>
    <row r="456" spans="10:10" s="121" customFormat="1" x14ac:dyDescent="0.2">
      <c r="J456" s="146"/>
    </row>
    <row r="457" spans="10:10" s="121" customFormat="1" x14ac:dyDescent="0.2">
      <c r="J457" s="146"/>
    </row>
    <row r="458" spans="10:10" s="121" customFormat="1" x14ac:dyDescent="0.2">
      <c r="J458" s="146"/>
    </row>
    <row r="459" spans="10:10" s="121" customFormat="1" x14ac:dyDescent="0.2">
      <c r="J459" s="146"/>
    </row>
    <row r="460" spans="10:10" s="121" customFormat="1" x14ac:dyDescent="0.2">
      <c r="J460" s="146"/>
    </row>
    <row r="461" spans="10:10" s="121" customFormat="1" x14ac:dyDescent="0.2">
      <c r="J461" s="146"/>
    </row>
    <row r="462" spans="10:10" s="121" customFormat="1" x14ac:dyDescent="0.2">
      <c r="J462" s="146"/>
    </row>
    <row r="463" spans="10:10" s="121" customFormat="1" x14ac:dyDescent="0.2">
      <c r="J463" s="146"/>
    </row>
    <row r="464" spans="10:10" s="121" customFormat="1" x14ac:dyDescent="0.2">
      <c r="J464" s="146"/>
    </row>
    <row r="465" spans="10:10" s="121" customFormat="1" x14ac:dyDescent="0.2">
      <c r="J465" s="146"/>
    </row>
    <row r="466" spans="10:10" s="121" customFormat="1" x14ac:dyDescent="0.2">
      <c r="J466" s="146"/>
    </row>
    <row r="467" spans="10:10" s="121" customFormat="1" x14ac:dyDescent="0.2">
      <c r="J467" s="146"/>
    </row>
    <row r="468" spans="10:10" s="121" customFormat="1" x14ac:dyDescent="0.2">
      <c r="J468" s="146"/>
    </row>
    <row r="469" spans="10:10" s="121" customFormat="1" x14ac:dyDescent="0.2">
      <c r="J469" s="146"/>
    </row>
    <row r="470" spans="10:10" s="121" customFormat="1" x14ac:dyDescent="0.2">
      <c r="J470" s="146"/>
    </row>
    <row r="471" spans="10:10" s="121" customFormat="1" x14ac:dyDescent="0.2">
      <c r="J471" s="146"/>
    </row>
    <row r="472" spans="10:10" s="121" customFormat="1" x14ac:dyDescent="0.2">
      <c r="J472" s="146"/>
    </row>
    <row r="473" spans="10:10" s="121" customFormat="1" x14ac:dyDescent="0.2">
      <c r="J473" s="146"/>
    </row>
    <row r="474" spans="10:10" s="121" customFormat="1" x14ac:dyDescent="0.2">
      <c r="J474" s="146"/>
    </row>
    <row r="475" spans="10:10" s="121" customFormat="1" x14ac:dyDescent="0.2">
      <c r="J475" s="146"/>
    </row>
  </sheetData>
  <sheetProtection algorithmName="SHA-512" hashValue="h67pIUn4ExAbbiTv/QGpEsWnCTtAC7p7+a1CbvdFRRnp4KpPkHItuUWlxTMZLOZE/Bh94gwlx1Xfq+Rut3F6XA==" saltValue="4OVUIh20BdPd03U5GENvCQ==" spinCount="100000" sheet="1" objects="1" scenarios="1" formatCells="0" formatColumns="0" formatRows="0"/>
  <dataConsolidate/>
  <mergeCells count="47">
    <mergeCell ref="B167:C167"/>
    <mergeCell ref="B169:C169"/>
    <mergeCell ref="B178:C178"/>
    <mergeCell ref="B180:C180"/>
    <mergeCell ref="J188:J191"/>
    <mergeCell ref="B136:C136"/>
    <mergeCell ref="B145:C145"/>
    <mergeCell ref="B147:C147"/>
    <mergeCell ref="B156:C156"/>
    <mergeCell ref="B158:C158"/>
    <mergeCell ref="B134:C134"/>
    <mergeCell ref="B121:J121"/>
    <mergeCell ref="B124:J124"/>
    <mergeCell ref="B122:J122"/>
    <mergeCell ref="B123:J123"/>
    <mergeCell ref="B26:J26"/>
    <mergeCell ref="B27:J27"/>
    <mergeCell ref="B28:J28"/>
    <mergeCell ref="B30:J30"/>
    <mergeCell ref="E46:I46"/>
    <mergeCell ref="B42:C42"/>
    <mergeCell ref="B46:C46"/>
    <mergeCell ref="B19:J19"/>
    <mergeCell ref="B21:J21"/>
    <mergeCell ref="B23:J23"/>
    <mergeCell ref="B2:I2"/>
    <mergeCell ref="B4:J4"/>
    <mergeCell ref="B6:J6"/>
    <mergeCell ref="B9:J9"/>
    <mergeCell ref="B12:J12"/>
    <mergeCell ref="B17:J17"/>
    <mergeCell ref="B13:J13"/>
    <mergeCell ref="B118:J118"/>
    <mergeCell ref="B73:J73"/>
    <mergeCell ref="B76:J76"/>
    <mergeCell ref="B80:J80"/>
    <mergeCell ref="B92:C92"/>
    <mergeCell ref="B96:C96"/>
    <mergeCell ref="E96:G96"/>
    <mergeCell ref="B77:J77"/>
    <mergeCell ref="B78:J78"/>
    <mergeCell ref="B79:J79"/>
    <mergeCell ref="B69:J69"/>
    <mergeCell ref="B54:C54"/>
    <mergeCell ref="B29:J29"/>
    <mergeCell ref="B71:J71"/>
    <mergeCell ref="B116:J116"/>
  </mergeCells>
  <conditionalFormatting sqref="E150 E155">
    <cfRule type="containsText" dxfId="4" priority="10" operator="containsText" text="Introduce value">
      <formula>NOT(ISERROR(SEARCH("Introduce value",#REF!)))</formula>
    </cfRule>
  </conditionalFormatting>
  <conditionalFormatting sqref="E186:E194 E181">
    <cfRule type="containsText" dxfId="3" priority="11" operator="containsText" text="Introduce value">
      <formula>NOT(ISERROR(SEARCH("Introduce value",#REF!)))</formula>
    </cfRule>
  </conditionalFormatting>
  <conditionalFormatting sqref="E161">
    <cfRule type="containsText" dxfId="2" priority="9" operator="containsText" text="Introduce value">
      <formula>NOT(ISERROR(SEARCH("Introduce value",#REF!)))</formula>
    </cfRule>
  </conditionalFormatting>
  <conditionalFormatting sqref="E172">
    <cfRule type="containsText" dxfId="1" priority="8" operator="containsText" text="Introduce value">
      <formula>NOT(ISERROR(SEARCH("Introduce value",#REF!)))</formula>
    </cfRule>
  </conditionalFormatting>
  <conditionalFormatting sqref="C155">
    <cfRule type="containsText" dxfId="0" priority="6" operator="containsText" text="Introduce value">
      <formula>NOT(ISERROR(SEARCH("Introduce value",#REF!)))</formula>
    </cfRule>
  </conditionalFormatting>
  <dataValidations count="5">
    <dataValidation type="list" allowBlank="1" showInputMessage="1" showErrorMessage="1" sqref="E46">
      <formula1>tonnage_range_leather</formula1>
    </dataValidation>
    <dataValidation type="list" allowBlank="1" showInputMessage="1" showErrorMessage="1" sqref="E96:G96">
      <formula1>tonnage_range_leather_application</formula1>
    </dataValidation>
    <dataValidation type="list" allowBlank="1" showInputMessage="1" showErrorMessage="1" sqref="C102">
      <formula1>Select_solubility</formula1>
    </dataValidation>
    <dataValidation type="list" allowBlank="1" showInputMessage="1" showErrorMessage="1" sqref="C150 C161 C139 C172">
      <formula1>treatment_step</formula1>
    </dataValidation>
    <dataValidation type="list" allowBlank="1" showInputMessage="1" showErrorMessage="1" sqref="C141 C152 C163 C174">
      <formula1>Select_leather_type</formula1>
    </dataValidation>
  </dataValidations>
  <hyperlinks>
    <hyperlink ref="B66" location="'PT6-leather'!A1" display="Go to the top of the page"/>
    <hyperlink ref="B113" location="'PT6-leather'!A1" display="Go to the top of the page"/>
    <hyperlink ref="B197" location="'PT6-leather'!A1" display="Go to the top of the page"/>
    <hyperlink ref="B9:J9" location="'PT6-leather'!Emission_estimation_for_the_formulation_process_of_additives_used_in_the_leather_production__ESD_§_3.3.3.4.1" display="Emission estimation for the formulation process of additives used in the leather production (ESD § 3.3.3.4.1)"/>
    <hyperlink ref="B12:J12" location="'PT6-leather'!Emission_scenario_for_calculating_the_release_from_chemicals_used_in_textile_processing___ESD_§_3.3.3.4.2____tonnage_based" display="Emission scenario for calculating the release from chemicals used in textile processing  (ESD § 3.3.3.4.2) - tonnage based"/>
    <hyperlink ref="B13:J13" location="'PT6-leather'!Emission_scenario_for_calculating_the_release_from_chemicals_used_in_textile_processing___ESD_§_3.3.3.4.2____tonnage_based" display="Emission scenario for calculating the release from chemicals used in textile processing  (ESD § 3.3.3.4.2) - consumption based"/>
  </hyperlinks>
  <pageMargins left="0.7" right="0.7" top="0.75" bottom="0.75" header="0.3" footer="0.3"/>
  <pageSetup paperSize="9" orientation="portrait" r:id="rId1"/>
  <ignoredErrors>
    <ignoredError sqref="G189"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347"/>
  <sheetViews>
    <sheetView zoomScale="87" zoomScaleNormal="73" workbookViewId="0"/>
  </sheetViews>
  <sheetFormatPr defaultColWidth="8.75" defaultRowHeight="12.75" x14ac:dyDescent="0.2"/>
  <cols>
    <col min="1" max="1" width="1.625" style="121" customWidth="1"/>
    <col min="2" max="2" width="30.625" style="122" customWidth="1"/>
    <col min="3" max="3" width="20.625" style="122" customWidth="1"/>
    <col min="4" max="4" width="1.625" style="122" customWidth="1"/>
    <col min="5" max="5" width="15.625" style="122" customWidth="1"/>
    <col min="6" max="6" width="1.625" style="121" customWidth="1"/>
    <col min="7" max="7" width="20.625" style="122" customWidth="1"/>
    <col min="8" max="9" width="10.625" style="122" customWidth="1"/>
    <col min="10" max="10" width="55.625" style="147" customWidth="1"/>
    <col min="11" max="16" width="8.75" style="122"/>
    <col min="17" max="18" width="8.75" style="121"/>
    <col min="19" max="19" width="37.25" style="121" customWidth="1"/>
    <col min="20" max="65" width="8.75" style="121"/>
    <col min="66" max="16384" width="8.75" style="122"/>
  </cols>
  <sheetData>
    <row r="1" spans="1:57" x14ac:dyDescent="0.2">
      <c r="B1" s="121"/>
      <c r="C1" s="121"/>
      <c r="D1" s="121"/>
      <c r="E1" s="121"/>
      <c r="G1" s="121"/>
      <c r="H1" s="121"/>
      <c r="I1" s="121"/>
      <c r="J1" s="146"/>
      <c r="K1" s="121"/>
      <c r="L1" s="121"/>
      <c r="M1" s="121"/>
      <c r="N1" s="121"/>
      <c r="O1" s="121"/>
      <c r="P1" s="121"/>
    </row>
    <row r="2" spans="1:57" ht="43.5" customHeight="1" x14ac:dyDescent="0.2">
      <c r="B2" s="442" t="s">
        <v>23</v>
      </c>
      <c r="C2" s="442"/>
      <c r="D2" s="442"/>
      <c r="E2" s="442"/>
      <c r="F2" s="442"/>
      <c r="G2" s="442"/>
      <c r="H2" s="442"/>
      <c r="I2" s="442"/>
      <c r="J2" s="146"/>
      <c r="K2" s="121"/>
      <c r="L2" s="121"/>
      <c r="M2" s="121"/>
      <c r="N2" s="121"/>
      <c r="O2" s="121"/>
      <c r="P2" s="121"/>
    </row>
    <row r="3" spans="1:57" x14ac:dyDescent="0.2">
      <c r="B3" s="121"/>
      <c r="C3" s="121"/>
      <c r="D3" s="121"/>
      <c r="E3" s="121"/>
      <c r="G3" s="121"/>
      <c r="H3" s="121"/>
      <c r="I3" s="121"/>
      <c r="J3" s="146"/>
      <c r="K3" s="121"/>
      <c r="L3" s="121"/>
      <c r="M3" s="121"/>
      <c r="N3" s="121"/>
      <c r="O3" s="121"/>
      <c r="P3" s="121"/>
    </row>
    <row r="4" spans="1:57" ht="18" x14ac:dyDescent="0.2">
      <c r="B4" s="443" t="s">
        <v>645</v>
      </c>
      <c r="C4" s="443"/>
      <c r="D4" s="443"/>
      <c r="E4" s="443"/>
      <c r="F4" s="443"/>
      <c r="G4" s="443"/>
      <c r="H4" s="443"/>
      <c r="I4" s="443"/>
      <c r="J4" s="443"/>
      <c r="K4" s="121"/>
      <c r="L4" s="121"/>
      <c r="M4" s="121"/>
      <c r="N4" s="121"/>
      <c r="O4" s="121"/>
      <c r="P4" s="121"/>
    </row>
    <row r="5" spans="1:57" s="121" customFormat="1" ht="15" x14ac:dyDescent="0.2">
      <c r="A5" s="119"/>
      <c r="B5" s="21"/>
      <c r="C5" s="21"/>
      <c r="D5" s="21"/>
      <c r="E5" s="21"/>
      <c r="F5" s="21"/>
      <c r="G5" s="21"/>
      <c r="H5" s="21"/>
      <c r="I5" s="21"/>
      <c r="J5" s="21"/>
      <c r="K5" s="21"/>
      <c r="L5" s="21"/>
      <c r="M5" s="21"/>
      <c r="N5" s="119"/>
      <c r="O5" s="119"/>
      <c r="P5" s="119"/>
      <c r="Q5" s="119"/>
    </row>
    <row r="6" spans="1:57" s="127" customFormat="1" ht="14.25" x14ac:dyDescent="0.2">
      <c r="A6" s="123"/>
      <c r="B6" s="124" t="s">
        <v>19</v>
      </c>
      <c r="C6" s="125"/>
      <c r="D6" s="125"/>
      <c r="E6" s="125"/>
      <c r="F6" s="125"/>
      <c r="G6" s="123"/>
      <c r="H6" s="123"/>
      <c r="I6" s="123"/>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row>
    <row r="7" spans="1:57" s="121" customFormat="1" ht="30" customHeight="1" x14ac:dyDescent="0.2">
      <c r="B7" s="429" t="s">
        <v>423</v>
      </c>
      <c r="C7" s="430"/>
      <c r="D7" s="430"/>
      <c r="E7" s="430"/>
      <c r="F7" s="430"/>
      <c r="G7" s="430"/>
      <c r="H7" s="430"/>
      <c r="I7" s="430"/>
      <c r="J7" s="430"/>
    </row>
    <row r="8" spans="1:57" s="121" customFormat="1" ht="3" customHeight="1" x14ac:dyDescent="0.2">
      <c r="B8" s="259"/>
      <c r="C8" s="259"/>
      <c r="D8" s="259"/>
      <c r="E8" s="259"/>
      <c r="F8" s="259"/>
      <c r="G8" s="259"/>
      <c r="H8" s="259"/>
      <c r="I8" s="259"/>
      <c r="J8" s="259"/>
    </row>
    <row r="9" spans="1:57" s="121" customFormat="1" ht="14.25" x14ac:dyDescent="0.2">
      <c r="B9" s="429" t="s">
        <v>537</v>
      </c>
      <c r="C9" s="430"/>
      <c r="D9" s="430"/>
      <c r="E9" s="430"/>
      <c r="F9" s="430"/>
      <c r="G9" s="430"/>
      <c r="H9" s="430"/>
      <c r="I9" s="430"/>
      <c r="J9" s="430"/>
    </row>
    <row r="10" spans="1:57" s="121" customFormat="1" ht="14.25" x14ac:dyDescent="0.2">
      <c r="B10" s="258"/>
      <c r="C10" s="259"/>
      <c r="D10" s="259"/>
      <c r="E10" s="259"/>
      <c r="F10" s="259"/>
      <c r="G10" s="259"/>
      <c r="H10" s="259"/>
      <c r="I10" s="259"/>
      <c r="J10" s="259"/>
    </row>
    <row r="11" spans="1:57" s="121" customFormat="1" ht="14.25" x14ac:dyDescent="0.2">
      <c r="B11" s="435" t="s">
        <v>391</v>
      </c>
      <c r="C11" s="435"/>
      <c r="D11" s="435"/>
      <c r="E11" s="435"/>
      <c r="F11" s="435"/>
      <c r="G11" s="435"/>
      <c r="H11" s="435"/>
      <c r="I11" s="435"/>
      <c r="J11" s="435"/>
    </row>
    <row r="12" spans="1:57" s="121" customFormat="1" ht="14.25" x14ac:dyDescent="0.2">
      <c r="B12" s="259"/>
      <c r="C12" s="259"/>
      <c r="D12" s="259"/>
      <c r="E12" s="259"/>
      <c r="F12" s="259"/>
      <c r="G12" s="259"/>
      <c r="H12" s="259"/>
      <c r="I12" s="259"/>
      <c r="J12" s="259"/>
    </row>
    <row r="13" spans="1:57" s="121" customFormat="1" ht="18" x14ac:dyDescent="0.2">
      <c r="B13" s="437" t="s">
        <v>538</v>
      </c>
      <c r="C13" s="437"/>
      <c r="D13" s="437"/>
      <c r="E13" s="437"/>
      <c r="F13" s="437"/>
      <c r="G13" s="437"/>
      <c r="H13" s="437"/>
      <c r="I13" s="437"/>
      <c r="J13" s="437"/>
    </row>
    <row r="14" spans="1:57" s="121" customFormat="1" ht="14.25" x14ac:dyDescent="0.2">
      <c r="B14" s="259"/>
      <c r="C14" s="259"/>
      <c r="D14" s="259"/>
      <c r="E14" s="259"/>
      <c r="F14" s="259"/>
      <c r="G14" s="259"/>
      <c r="H14" s="259"/>
      <c r="I14" s="259"/>
      <c r="J14" s="259"/>
    </row>
    <row r="15" spans="1:57" s="121" customFormat="1" ht="14.25" x14ac:dyDescent="0.2">
      <c r="B15" s="129" t="s">
        <v>8</v>
      </c>
      <c r="C15" s="259"/>
      <c r="D15" s="259"/>
      <c r="E15" s="259"/>
      <c r="F15" s="259"/>
      <c r="G15" s="259"/>
      <c r="H15" s="259"/>
      <c r="I15" s="259"/>
      <c r="J15" s="259"/>
    </row>
    <row r="16" spans="1:57" s="121" customFormat="1" ht="14.25" customHeight="1" x14ac:dyDescent="0.2">
      <c r="B16" s="434" t="s">
        <v>148</v>
      </c>
      <c r="C16" s="434"/>
      <c r="D16" s="434"/>
      <c r="E16" s="434"/>
      <c r="F16" s="434"/>
      <c r="G16" s="434"/>
      <c r="H16" s="434"/>
      <c r="I16" s="434"/>
      <c r="J16" s="434"/>
    </row>
    <row r="17" spans="2:10" s="121" customFormat="1" x14ac:dyDescent="0.2">
      <c r="B17" s="434" t="s">
        <v>471</v>
      </c>
      <c r="C17" s="434"/>
      <c r="D17" s="434"/>
      <c r="E17" s="434"/>
      <c r="F17" s="434"/>
      <c r="G17" s="434"/>
      <c r="H17" s="434"/>
      <c r="I17" s="434"/>
      <c r="J17" s="434"/>
    </row>
    <row r="18" spans="2:10" s="121" customFormat="1" x14ac:dyDescent="0.2">
      <c r="B18" s="434" t="s">
        <v>725</v>
      </c>
      <c r="C18" s="434"/>
      <c r="D18" s="434"/>
      <c r="E18" s="434"/>
      <c r="F18" s="434"/>
      <c r="G18" s="434"/>
      <c r="H18" s="434"/>
      <c r="I18" s="434"/>
      <c r="J18" s="434"/>
    </row>
    <row r="19" spans="2:10" s="121" customFormat="1" x14ac:dyDescent="0.2">
      <c r="B19" s="434" t="s">
        <v>484</v>
      </c>
      <c r="C19" s="434"/>
      <c r="D19" s="434"/>
      <c r="E19" s="434"/>
      <c r="F19" s="434"/>
      <c r="G19" s="434"/>
      <c r="H19" s="434"/>
      <c r="I19" s="434"/>
      <c r="J19" s="434"/>
    </row>
    <row r="20" spans="2:10" s="121" customFormat="1" ht="3" customHeight="1" x14ac:dyDescent="0.2">
      <c r="B20" s="259"/>
      <c r="C20" s="259"/>
      <c r="D20" s="259"/>
      <c r="E20" s="259"/>
      <c r="F20" s="259"/>
      <c r="G20" s="259"/>
      <c r="H20" s="259"/>
      <c r="I20" s="259"/>
      <c r="J20" s="259"/>
    </row>
    <row r="21" spans="2:10" s="121" customFormat="1" ht="15" x14ac:dyDescent="0.2">
      <c r="B21" s="131" t="s">
        <v>0</v>
      </c>
      <c r="C21" s="132"/>
      <c r="D21" s="132"/>
      <c r="E21" s="132"/>
      <c r="F21" s="132"/>
      <c r="G21" s="132"/>
      <c r="H21" s="132"/>
      <c r="I21" s="132"/>
      <c r="J21" s="133"/>
    </row>
    <row r="22" spans="2:10" s="121" customFormat="1" ht="3" customHeight="1" x14ac:dyDescent="0.2">
      <c r="B22" s="134"/>
      <c r="C22" s="134"/>
      <c r="D22" s="134"/>
      <c r="E22" s="134"/>
      <c r="F22" s="134"/>
      <c r="G22" s="134"/>
      <c r="H22" s="134"/>
      <c r="I22" s="134"/>
      <c r="J22" s="263"/>
    </row>
    <row r="23" spans="2:10" s="121" customFormat="1" ht="15" x14ac:dyDescent="0.2">
      <c r="B23" s="136" t="s">
        <v>2</v>
      </c>
      <c r="C23" s="136"/>
      <c r="D23" s="136"/>
      <c r="E23" s="137" t="s">
        <v>4</v>
      </c>
      <c r="F23" s="138"/>
      <c r="G23" s="138" t="s">
        <v>6</v>
      </c>
      <c r="H23" s="138" t="s">
        <v>3</v>
      </c>
      <c r="I23" s="138" t="s">
        <v>9</v>
      </c>
      <c r="J23" s="137" t="s">
        <v>15</v>
      </c>
    </row>
    <row r="24" spans="2:10" s="121" customFormat="1" ht="3" customHeight="1" x14ac:dyDescent="0.2">
      <c r="B24" s="134"/>
      <c r="C24" s="134"/>
      <c r="D24" s="134"/>
      <c r="E24" s="134"/>
      <c r="F24" s="134"/>
      <c r="G24" s="134"/>
      <c r="H24" s="134"/>
      <c r="I24" s="134"/>
      <c r="J24" s="263"/>
    </row>
    <row r="25" spans="2:10" s="121" customFormat="1" ht="15" x14ac:dyDescent="0.2">
      <c r="B25" s="134" t="s">
        <v>30</v>
      </c>
      <c r="C25" s="134"/>
      <c r="D25" s="134"/>
      <c r="E25" s="263" t="s">
        <v>31</v>
      </c>
      <c r="F25" s="134"/>
      <c r="G25" s="141"/>
      <c r="H25" s="139" t="s">
        <v>134</v>
      </c>
      <c r="I25" s="139" t="s">
        <v>18</v>
      </c>
      <c r="J25" s="263"/>
    </row>
    <row r="26" spans="2:10" s="121" customFormat="1" ht="3" customHeight="1" x14ac:dyDescent="0.2">
      <c r="B26" s="134"/>
      <c r="C26" s="134"/>
      <c r="D26" s="134"/>
      <c r="E26" s="263"/>
      <c r="F26" s="134"/>
      <c r="G26" s="139"/>
      <c r="H26" s="139"/>
      <c r="I26" s="139"/>
      <c r="J26" s="263"/>
    </row>
    <row r="27" spans="2:10" s="121" customFormat="1" x14ac:dyDescent="0.2">
      <c r="B27" s="134" t="s">
        <v>32</v>
      </c>
      <c r="C27" s="134"/>
      <c r="D27" s="134"/>
      <c r="E27" s="262" t="s">
        <v>33</v>
      </c>
      <c r="F27" s="134"/>
      <c r="G27" s="139">
        <v>0.1</v>
      </c>
      <c r="H27" s="139" t="s">
        <v>5</v>
      </c>
      <c r="I27" s="148" t="str">
        <f>IF(Freg_formulation=0.1, "D", "S")</f>
        <v>D</v>
      </c>
      <c r="J27" s="263"/>
    </row>
    <row r="28" spans="2:10" s="121" customFormat="1" ht="3" customHeight="1" x14ac:dyDescent="0.2">
      <c r="B28" s="134"/>
      <c r="C28" s="134"/>
      <c r="D28" s="134"/>
      <c r="E28" s="262"/>
      <c r="F28" s="134"/>
      <c r="G28" s="139"/>
      <c r="H28" s="139"/>
      <c r="I28" s="139"/>
      <c r="J28" s="263"/>
    </row>
    <row r="29" spans="2:10" s="121" customFormat="1" ht="15" x14ac:dyDescent="0.2">
      <c r="B29" s="134" t="s">
        <v>139</v>
      </c>
      <c r="C29" s="134"/>
      <c r="D29" s="134"/>
      <c r="E29" s="262" t="s">
        <v>140</v>
      </c>
      <c r="F29" s="134"/>
      <c r="G29" s="227" t="str">
        <f>IF(ISNUMBER(TONNAGEformulation), TONNAGEformulation*Freg_formulation,"??")</f>
        <v>??</v>
      </c>
      <c r="H29" s="139" t="s">
        <v>134</v>
      </c>
      <c r="I29" s="139" t="s">
        <v>7</v>
      </c>
      <c r="J29" s="263" t="s">
        <v>357</v>
      </c>
    </row>
    <row r="30" spans="2:10" s="121" customFormat="1" ht="3" customHeight="1" x14ac:dyDescent="0.2">
      <c r="B30" s="134"/>
      <c r="C30" s="134"/>
      <c r="D30" s="134"/>
      <c r="E30" s="263"/>
      <c r="F30" s="134"/>
      <c r="G30" s="139"/>
      <c r="H30" s="139"/>
      <c r="I30" s="139"/>
      <c r="J30" s="263"/>
    </row>
    <row r="31" spans="2:10" s="121" customFormat="1" ht="27.75" customHeight="1" x14ac:dyDescent="0.2">
      <c r="B31" s="431" t="s">
        <v>359</v>
      </c>
      <c r="C31" s="431"/>
      <c r="D31" s="134"/>
      <c r="E31" s="263" t="s">
        <v>358</v>
      </c>
      <c r="F31" s="134"/>
      <c r="G31" s="141"/>
      <c r="H31" s="139" t="s">
        <v>5</v>
      </c>
      <c r="I31" s="139" t="s">
        <v>18</v>
      </c>
      <c r="J31" s="353" t="s">
        <v>573</v>
      </c>
    </row>
    <row r="32" spans="2:10" s="121" customFormat="1" ht="3" customHeight="1" x14ac:dyDescent="0.2">
      <c r="B32" s="134"/>
      <c r="C32" s="134"/>
      <c r="D32" s="134"/>
      <c r="E32" s="263"/>
      <c r="F32" s="134"/>
      <c r="G32" s="139"/>
      <c r="H32" s="139"/>
      <c r="I32" s="139"/>
      <c r="J32" s="263"/>
    </row>
    <row r="33" spans="2:10" s="121" customFormat="1" ht="25.5" x14ac:dyDescent="0.2">
      <c r="B33" s="134" t="s">
        <v>360</v>
      </c>
      <c r="C33" s="134"/>
      <c r="D33" s="134"/>
      <c r="E33" s="263" t="s">
        <v>361</v>
      </c>
      <c r="F33" s="134"/>
      <c r="G33" s="227" t="str">
        <f>IF(AND(ISNUMBER(TONNAGEreg_formulation), ISNUMBER(Fchem_form_formulation)),TONNAGEreg_formulation/Fchem_form_formulation,"??")</f>
        <v>??</v>
      </c>
      <c r="H33" s="139" t="s">
        <v>134</v>
      </c>
      <c r="I33" s="139" t="s">
        <v>7</v>
      </c>
      <c r="J33" s="260" t="s">
        <v>567</v>
      </c>
    </row>
    <row r="34" spans="2:10" s="121" customFormat="1" ht="3" customHeight="1" thickBot="1" x14ac:dyDescent="0.25">
      <c r="B34" s="134"/>
      <c r="C34" s="134"/>
      <c r="D34" s="134"/>
      <c r="E34" s="263"/>
      <c r="F34" s="134"/>
      <c r="G34" s="139"/>
      <c r="H34" s="139"/>
      <c r="I34" s="139"/>
      <c r="J34" s="260"/>
    </row>
    <row r="35" spans="2:10" s="121" customFormat="1" ht="51" customHeight="1" thickTop="1" thickBot="1" x14ac:dyDescent="0.25">
      <c r="B35" s="431" t="s">
        <v>837</v>
      </c>
      <c r="C35" s="431"/>
      <c r="D35" s="134"/>
      <c r="E35" s="444" t="s">
        <v>540</v>
      </c>
      <c r="F35" s="444"/>
      <c r="G35" s="444"/>
      <c r="H35" s="444"/>
      <c r="I35" s="444"/>
      <c r="J35" s="260"/>
    </row>
    <row r="36" spans="2:10" s="121" customFormat="1" ht="3" customHeight="1" thickTop="1" x14ac:dyDescent="0.2">
      <c r="B36" s="263"/>
      <c r="C36" s="260"/>
      <c r="D36" s="134"/>
      <c r="E36" s="263"/>
      <c r="F36" s="134"/>
      <c r="G36" s="139"/>
      <c r="H36" s="139"/>
      <c r="I36" s="139"/>
      <c r="J36" s="260"/>
    </row>
    <row r="37" spans="2:10" s="121" customFormat="1" x14ac:dyDescent="0.2">
      <c r="B37" s="134" t="s">
        <v>377</v>
      </c>
      <c r="C37" s="134"/>
      <c r="D37" s="134"/>
      <c r="E37" s="263" t="s">
        <v>165</v>
      </c>
      <c r="F37" s="134"/>
      <c r="G37" s="36" t="str">
        <f>INDEX('Pick-lists &amp; Defaults'!C210:C222,MATCH(Select_tonnage_range,tonnage_range_fuels,0))</f>
        <v>??</v>
      </c>
      <c r="H37" s="139" t="s">
        <v>5</v>
      </c>
      <c r="I37" s="139" t="s">
        <v>237</v>
      </c>
      <c r="J37" s="263" t="s">
        <v>474</v>
      </c>
    </row>
    <row r="38" spans="2:10" s="121" customFormat="1" ht="3" customHeight="1" x14ac:dyDescent="0.2">
      <c r="B38" s="134"/>
      <c r="C38" s="134"/>
      <c r="D38" s="134"/>
      <c r="E38" s="263"/>
      <c r="F38" s="134"/>
      <c r="G38" s="139"/>
      <c r="H38" s="139"/>
      <c r="I38" s="139"/>
      <c r="J38" s="263"/>
    </row>
    <row r="39" spans="2:10" s="121" customFormat="1" ht="25.5" customHeight="1" x14ac:dyDescent="0.2">
      <c r="B39" s="134" t="s">
        <v>164</v>
      </c>
      <c r="C39" s="134"/>
      <c r="D39" s="134"/>
      <c r="E39" s="263" t="s">
        <v>378</v>
      </c>
      <c r="F39" s="134"/>
      <c r="G39" s="274" t="str">
        <f>INDEX('Pick-lists &amp; Defaults'!E210:E222,MATCH(Select_tonnage_range,tonnage_range_fuels,0))</f>
        <v>??</v>
      </c>
      <c r="H39" s="139" t="s">
        <v>651</v>
      </c>
      <c r="I39" s="148" t="s">
        <v>237</v>
      </c>
      <c r="J39" s="263" t="s">
        <v>474</v>
      </c>
    </row>
    <row r="40" spans="2:10" s="121" customFormat="1" ht="3" customHeight="1" x14ac:dyDescent="0.2">
      <c r="B40" s="134"/>
      <c r="C40" s="134"/>
      <c r="D40" s="134"/>
      <c r="E40" s="263"/>
      <c r="F40" s="134"/>
      <c r="G40" s="139"/>
      <c r="H40" s="139"/>
      <c r="I40" s="139"/>
      <c r="J40" s="263"/>
    </row>
    <row r="41" spans="2:10" s="121" customFormat="1" x14ac:dyDescent="0.2">
      <c r="B41" s="260" t="s">
        <v>379</v>
      </c>
      <c r="C41" s="134"/>
      <c r="D41" s="134"/>
      <c r="E41" s="263" t="s">
        <v>97</v>
      </c>
      <c r="F41" s="134"/>
      <c r="G41" s="251" t="str">
        <f>IF(ISNUMBER(TONNAGEregform_formulation),IF(TONNAGEregform_formulation&lt;1000,'Pick-lists &amp; Defaults'!C15,'Pick-lists &amp; Defaults'!C16),"??")</f>
        <v>??</v>
      </c>
      <c r="H41" s="139" t="s">
        <v>5</v>
      </c>
      <c r="I41" s="139" t="s">
        <v>237</v>
      </c>
      <c r="J41" s="260" t="s">
        <v>399</v>
      </c>
    </row>
    <row r="42" spans="2:10" s="121" customFormat="1" ht="3" customHeight="1" x14ac:dyDescent="0.2">
      <c r="B42" s="260"/>
      <c r="C42" s="134"/>
      <c r="D42" s="134"/>
      <c r="E42" s="263"/>
      <c r="F42" s="134"/>
      <c r="G42" s="263"/>
      <c r="H42" s="139"/>
      <c r="I42" s="139"/>
      <c r="J42" s="260"/>
    </row>
    <row r="43" spans="2:10" s="121" customFormat="1" x14ac:dyDescent="0.2">
      <c r="B43" s="134"/>
      <c r="C43" s="134"/>
      <c r="D43" s="134"/>
      <c r="E43" s="134"/>
      <c r="F43" s="134"/>
      <c r="G43" s="134"/>
      <c r="H43" s="134"/>
      <c r="I43" s="134"/>
      <c r="J43" s="263"/>
    </row>
    <row r="44" spans="2:10" s="121" customFormat="1" ht="15" x14ac:dyDescent="0.2">
      <c r="B44" s="131" t="s">
        <v>1</v>
      </c>
      <c r="C44" s="132"/>
      <c r="D44" s="132"/>
      <c r="E44" s="132"/>
      <c r="F44" s="132"/>
      <c r="G44" s="132"/>
      <c r="H44" s="132"/>
      <c r="I44" s="132"/>
      <c r="J44" s="133"/>
    </row>
    <row r="45" spans="2:10" s="121" customFormat="1" ht="3" customHeight="1" x14ac:dyDescent="0.2">
      <c r="B45" s="134"/>
      <c r="C45" s="134"/>
      <c r="D45" s="134"/>
      <c r="E45" s="134"/>
      <c r="F45" s="134"/>
      <c r="G45" s="134"/>
      <c r="H45" s="134"/>
      <c r="I45" s="134"/>
      <c r="J45" s="263"/>
    </row>
    <row r="46" spans="2:10" s="121" customFormat="1" ht="15" x14ac:dyDescent="0.2">
      <c r="B46" s="136" t="s">
        <v>2</v>
      </c>
      <c r="C46" s="136"/>
      <c r="D46" s="136"/>
      <c r="E46" s="137" t="s">
        <v>4</v>
      </c>
      <c r="F46" s="138"/>
      <c r="G46" s="138" t="s">
        <v>6</v>
      </c>
      <c r="H46" s="138" t="s">
        <v>3</v>
      </c>
      <c r="I46" s="138" t="s">
        <v>9</v>
      </c>
      <c r="J46" s="137" t="s">
        <v>15</v>
      </c>
    </row>
    <row r="47" spans="2:10" s="121" customFormat="1" ht="3" customHeight="1" x14ac:dyDescent="0.2">
      <c r="B47" s="136"/>
      <c r="C47" s="136"/>
      <c r="D47" s="136"/>
      <c r="E47" s="137"/>
      <c r="F47" s="138"/>
      <c r="G47" s="138"/>
      <c r="H47" s="138"/>
      <c r="I47" s="138"/>
      <c r="J47" s="137"/>
    </row>
    <row r="48" spans="2:10" s="121" customFormat="1" ht="15" customHeight="1" x14ac:dyDescent="0.2">
      <c r="B48" s="161" t="s">
        <v>57</v>
      </c>
      <c r="C48" s="86"/>
      <c r="D48" s="134"/>
      <c r="E48" s="134" t="s">
        <v>44</v>
      </c>
      <c r="F48" s="134"/>
      <c r="G48" s="149" t="str">
        <f>IF(AND(ISNUMBER(TONNAGEreg_formulation),ISNUMBER(Fmainsource_formulation),ISNUMBER(Fwater_formulation),ISNUMBER(Temission_formulation)),TONNAGEreg_formulation*1000*Fmainsource_formulation*Fwater_formulation/Temission_formulation,"??")</f>
        <v>??</v>
      </c>
      <c r="H48" s="139" t="s">
        <v>16</v>
      </c>
      <c r="I48" s="139" t="s">
        <v>7</v>
      </c>
      <c r="J48" s="261" t="s">
        <v>411</v>
      </c>
    </row>
    <row r="49" spans="2:10" s="121" customFormat="1" x14ac:dyDescent="0.2">
      <c r="B49" s="161"/>
      <c r="C49" s="86"/>
      <c r="D49" s="134"/>
      <c r="E49" s="134"/>
      <c r="F49" s="134"/>
      <c r="G49" s="134"/>
      <c r="H49" s="139"/>
      <c r="I49" s="139"/>
      <c r="J49" s="261"/>
    </row>
    <row r="50" spans="2:10" s="121" customFormat="1" x14ac:dyDescent="0.2">
      <c r="B50" s="143" t="s">
        <v>10</v>
      </c>
      <c r="J50" s="146"/>
    </row>
    <row r="51" spans="2:10" s="121" customFormat="1" x14ac:dyDescent="0.2">
      <c r="J51" s="146"/>
    </row>
    <row r="52" spans="2:10" s="121" customFormat="1" x14ac:dyDescent="0.2">
      <c r="B52" s="255" t="s">
        <v>422</v>
      </c>
      <c r="J52" s="146"/>
    </row>
    <row r="53" spans="2:10" s="121" customFormat="1" x14ac:dyDescent="0.2">
      <c r="B53" s="257"/>
      <c r="J53" s="146"/>
    </row>
    <row r="54" spans="2:10" s="121" customFormat="1" x14ac:dyDescent="0.2">
      <c r="J54" s="146"/>
    </row>
    <row r="55" spans="2:10" s="121" customFormat="1" x14ac:dyDescent="0.2">
      <c r="J55" s="146"/>
    </row>
    <row r="56" spans="2:10" s="121" customFormat="1" x14ac:dyDescent="0.2">
      <c r="J56" s="146"/>
    </row>
    <row r="57" spans="2:10" s="121" customFormat="1" x14ac:dyDescent="0.2">
      <c r="J57" s="146"/>
    </row>
    <row r="58" spans="2:10" s="121" customFormat="1" x14ac:dyDescent="0.2">
      <c r="J58" s="146"/>
    </row>
    <row r="59" spans="2:10" s="121" customFormat="1" x14ac:dyDescent="0.2">
      <c r="J59" s="146"/>
    </row>
    <row r="60" spans="2:10" s="121" customFormat="1" x14ac:dyDescent="0.2">
      <c r="J60" s="146"/>
    </row>
    <row r="61" spans="2:10" s="121" customFormat="1" x14ac:dyDescent="0.2">
      <c r="J61" s="146"/>
    </row>
    <row r="62" spans="2:10" s="121" customFormat="1" x14ac:dyDescent="0.2">
      <c r="J62" s="146"/>
    </row>
    <row r="63" spans="2:10" s="121" customFormat="1" x14ac:dyDescent="0.2">
      <c r="J63" s="146"/>
    </row>
    <row r="64" spans="2:10" s="121" customFormat="1" x14ac:dyDescent="0.2">
      <c r="J64" s="146"/>
    </row>
    <row r="65" spans="10:10" s="121" customFormat="1" x14ac:dyDescent="0.2">
      <c r="J65" s="146"/>
    </row>
    <row r="66" spans="10:10" s="121" customFormat="1" x14ac:dyDescent="0.2">
      <c r="J66" s="146"/>
    </row>
    <row r="67" spans="10:10" s="121" customFormat="1" x14ac:dyDescent="0.2">
      <c r="J67" s="146"/>
    </row>
    <row r="68" spans="10:10" s="121" customFormat="1" x14ac:dyDescent="0.2">
      <c r="J68" s="146"/>
    </row>
    <row r="69" spans="10:10" s="121" customFormat="1" x14ac:dyDescent="0.2">
      <c r="J69" s="146"/>
    </row>
    <row r="70" spans="10:10" s="121" customFormat="1" x14ac:dyDescent="0.2">
      <c r="J70" s="146"/>
    </row>
    <row r="71" spans="10:10" s="121" customFormat="1" x14ac:dyDescent="0.2">
      <c r="J71" s="146"/>
    </row>
    <row r="72" spans="10:10" s="121" customFormat="1" x14ac:dyDescent="0.2">
      <c r="J72" s="146"/>
    </row>
    <row r="73" spans="10:10" s="121" customFormat="1" x14ac:dyDescent="0.2">
      <c r="J73" s="146"/>
    </row>
    <row r="74" spans="10:10" s="121" customFormat="1" x14ac:dyDescent="0.2">
      <c r="J74" s="146"/>
    </row>
    <row r="75" spans="10:10" s="121" customFormat="1" x14ac:dyDescent="0.2">
      <c r="J75" s="146"/>
    </row>
    <row r="76" spans="10:10" s="121" customFormat="1" x14ac:dyDescent="0.2">
      <c r="J76" s="146"/>
    </row>
    <row r="77" spans="10:10" s="121" customFormat="1" x14ac:dyDescent="0.2">
      <c r="J77" s="146"/>
    </row>
    <row r="78" spans="10:10" s="121" customFormat="1" x14ac:dyDescent="0.2">
      <c r="J78" s="146"/>
    </row>
    <row r="79" spans="10:10" s="121" customFormat="1" x14ac:dyDescent="0.2">
      <c r="J79" s="146"/>
    </row>
    <row r="80" spans="10:10" s="121" customFormat="1" x14ac:dyDescent="0.2">
      <c r="J80" s="146"/>
    </row>
    <row r="81" spans="10:10" s="121" customFormat="1" x14ac:dyDescent="0.2">
      <c r="J81" s="146"/>
    </row>
    <row r="82" spans="10:10" s="121" customFormat="1" x14ac:dyDescent="0.2">
      <c r="J82" s="146"/>
    </row>
    <row r="83" spans="10:10" s="121" customFormat="1" x14ac:dyDescent="0.2">
      <c r="J83" s="146"/>
    </row>
    <row r="84" spans="10:10" s="121" customFormat="1" x14ac:dyDescent="0.2">
      <c r="J84" s="146"/>
    </row>
    <row r="85" spans="10:10" s="121" customFormat="1" x14ac:dyDescent="0.2">
      <c r="J85" s="146"/>
    </row>
    <row r="86" spans="10:10" s="121" customFormat="1" x14ac:dyDescent="0.2">
      <c r="J86" s="146"/>
    </row>
    <row r="87" spans="10:10" s="121" customFormat="1" x14ac:dyDescent="0.2">
      <c r="J87" s="146"/>
    </row>
    <row r="88" spans="10:10" s="121" customFormat="1" x14ac:dyDescent="0.2">
      <c r="J88" s="146"/>
    </row>
    <row r="89" spans="10:10" s="121" customFormat="1" x14ac:dyDescent="0.2">
      <c r="J89" s="146"/>
    </row>
    <row r="90" spans="10:10" s="121" customFormat="1" x14ac:dyDescent="0.2">
      <c r="J90" s="146"/>
    </row>
    <row r="91" spans="10:10" s="121" customFormat="1" x14ac:dyDescent="0.2">
      <c r="J91" s="146"/>
    </row>
    <row r="92" spans="10:10" s="121" customFormat="1" x14ac:dyDescent="0.2">
      <c r="J92" s="146"/>
    </row>
    <row r="93" spans="10:10" s="121" customFormat="1" x14ac:dyDescent="0.2">
      <c r="J93" s="146"/>
    </row>
    <row r="94" spans="10:10" s="121" customFormat="1" x14ac:dyDescent="0.2">
      <c r="J94" s="146"/>
    </row>
    <row r="95" spans="10:10" s="121" customFormat="1" x14ac:dyDescent="0.2">
      <c r="J95" s="146"/>
    </row>
    <row r="96" spans="10:10" s="121" customFormat="1" x14ac:dyDescent="0.2">
      <c r="J96" s="146"/>
    </row>
    <row r="97" spans="10:10" s="121" customFormat="1" x14ac:dyDescent="0.2">
      <c r="J97" s="146"/>
    </row>
    <row r="98" spans="10:10" s="121" customFormat="1" x14ac:dyDescent="0.2">
      <c r="J98" s="146"/>
    </row>
    <row r="99" spans="10:10" s="121" customFormat="1" x14ac:dyDescent="0.2">
      <c r="J99" s="146"/>
    </row>
    <row r="100" spans="10:10" s="121" customFormat="1" x14ac:dyDescent="0.2">
      <c r="J100" s="146"/>
    </row>
    <row r="101" spans="10:10" s="121" customFormat="1" x14ac:dyDescent="0.2">
      <c r="J101" s="146"/>
    </row>
    <row r="102" spans="10:10" s="121" customFormat="1" x14ac:dyDescent="0.2">
      <c r="J102" s="146"/>
    </row>
    <row r="103" spans="10:10" s="121" customFormat="1" x14ac:dyDescent="0.2">
      <c r="J103" s="146"/>
    </row>
    <row r="104" spans="10:10" s="121" customFormat="1" x14ac:dyDescent="0.2">
      <c r="J104" s="146"/>
    </row>
    <row r="105" spans="10:10" s="121" customFormat="1" x14ac:dyDescent="0.2">
      <c r="J105" s="146"/>
    </row>
    <row r="106" spans="10:10" s="121" customFormat="1" x14ac:dyDescent="0.2">
      <c r="J106" s="146"/>
    </row>
    <row r="107" spans="10:10" s="121" customFormat="1" x14ac:dyDescent="0.2">
      <c r="J107" s="146"/>
    </row>
    <row r="108" spans="10:10" s="121" customFormat="1" x14ac:dyDescent="0.2">
      <c r="J108" s="146"/>
    </row>
    <row r="109" spans="10:10" s="121" customFormat="1" x14ac:dyDescent="0.2">
      <c r="J109" s="146"/>
    </row>
    <row r="110" spans="10:10" s="121" customFormat="1" x14ac:dyDescent="0.2">
      <c r="J110" s="146"/>
    </row>
    <row r="111" spans="10:10" s="121" customFormat="1" x14ac:dyDescent="0.2">
      <c r="J111" s="146"/>
    </row>
    <row r="112" spans="10:10" s="121" customFormat="1" x14ac:dyDescent="0.2">
      <c r="J112" s="146"/>
    </row>
    <row r="113" spans="10:10" s="121" customFormat="1" x14ac:dyDescent="0.2">
      <c r="J113" s="146"/>
    </row>
    <row r="114" spans="10:10" s="121" customFormat="1" x14ac:dyDescent="0.2">
      <c r="J114" s="146"/>
    </row>
    <row r="115" spans="10:10" s="121" customFormat="1" x14ac:dyDescent="0.2">
      <c r="J115" s="146"/>
    </row>
    <row r="116" spans="10:10" s="121" customFormat="1" x14ac:dyDescent="0.2">
      <c r="J116" s="146"/>
    </row>
    <row r="117" spans="10:10" s="121" customFormat="1" x14ac:dyDescent="0.2">
      <c r="J117" s="146"/>
    </row>
    <row r="118" spans="10:10" s="121" customFormat="1" x14ac:dyDescent="0.2">
      <c r="J118" s="146"/>
    </row>
    <row r="119" spans="10:10" s="121" customFormat="1" x14ac:dyDescent="0.2">
      <c r="J119" s="146"/>
    </row>
    <row r="120" spans="10:10" s="121" customFormat="1" x14ac:dyDescent="0.2">
      <c r="J120" s="146"/>
    </row>
    <row r="121" spans="10:10" s="121" customFormat="1" x14ac:dyDescent="0.2">
      <c r="J121" s="146"/>
    </row>
    <row r="122" spans="10:10" s="121" customFormat="1" x14ac:dyDescent="0.2">
      <c r="J122" s="146"/>
    </row>
    <row r="123" spans="10:10" s="121" customFormat="1" x14ac:dyDescent="0.2">
      <c r="J123" s="146"/>
    </row>
    <row r="124" spans="10:10" s="121" customFormat="1" x14ac:dyDescent="0.2">
      <c r="J124" s="146"/>
    </row>
    <row r="125" spans="10:10" s="121" customFormat="1" x14ac:dyDescent="0.2">
      <c r="J125" s="146"/>
    </row>
    <row r="126" spans="10:10" s="121" customFormat="1" x14ac:dyDescent="0.2">
      <c r="J126" s="146"/>
    </row>
    <row r="127" spans="10:10" s="121" customFormat="1" x14ac:dyDescent="0.2">
      <c r="J127" s="146"/>
    </row>
    <row r="128" spans="10:10" s="121" customFormat="1" x14ac:dyDescent="0.2">
      <c r="J128" s="146"/>
    </row>
    <row r="129" spans="10:10" s="121" customFormat="1" x14ac:dyDescent="0.2">
      <c r="J129" s="146"/>
    </row>
    <row r="130" spans="10:10" s="121" customFormat="1" x14ac:dyDescent="0.2">
      <c r="J130" s="146"/>
    </row>
    <row r="131" spans="10:10" s="121" customFormat="1" x14ac:dyDescent="0.2">
      <c r="J131" s="146"/>
    </row>
    <row r="132" spans="10:10" s="121" customFormat="1" x14ac:dyDescent="0.2">
      <c r="J132" s="146"/>
    </row>
    <row r="133" spans="10:10" s="121" customFormat="1" x14ac:dyDescent="0.2">
      <c r="J133" s="146"/>
    </row>
    <row r="134" spans="10:10" s="121" customFormat="1" x14ac:dyDescent="0.2">
      <c r="J134" s="146"/>
    </row>
    <row r="135" spans="10:10" s="121" customFormat="1" x14ac:dyDescent="0.2">
      <c r="J135" s="146"/>
    </row>
    <row r="136" spans="10:10" s="121" customFormat="1" x14ac:dyDescent="0.2">
      <c r="J136" s="146"/>
    </row>
    <row r="137" spans="10:10" s="121" customFormat="1" x14ac:dyDescent="0.2">
      <c r="J137" s="146"/>
    </row>
    <row r="138" spans="10:10" s="121" customFormat="1" x14ac:dyDescent="0.2">
      <c r="J138" s="146"/>
    </row>
    <row r="139" spans="10:10" s="121" customFormat="1" x14ac:dyDescent="0.2">
      <c r="J139" s="146"/>
    </row>
    <row r="140" spans="10:10" s="121" customFormat="1" x14ac:dyDescent="0.2">
      <c r="J140" s="146"/>
    </row>
    <row r="141" spans="10:10" s="121" customFormat="1" x14ac:dyDescent="0.2">
      <c r="J141" s="146"/>
    </row>
    <row r="142" spans="10:10" s="121" customFormat="1" x14ac:dyDescent="0.2">
      <c r="J142" s="146"/>
    </row>
    <row r="143" spans="10:10" s="121" customFormat="1" x14ac:dyDescent="0.2">
      <c r="J143" s="146"/>
    </row>
    <row r="144" spans="10:10" s="121" customFormat="1" x14ac:dyDescent="0.2">
      <c r="J144" s="146"/>
    </row>
    <row r="145" spans="10:10" s="121" customFormat="1" x14ac:dyDescent="0.2">
      <c r="J145" s="146"/>
    </row>
    <row r="146" spans="10:10" s="121" customFormat="1" x14ac:dyDescent="0.2">
      <c r="J146" s="146"/>
    </row>
    <row r="147" spans="10:10" s="121" customFormat="1" x14ac:dyDescent="0.2">
      <c r="J147" s="146"/>
    </row>
    <row r="148" spans="10:10" s="121" customFormat="1" x14ac:dyDescent="0.2">
      <c r="J148" s="146"/>
    </row>
    <row r="149" spans="10:10" s="121" customFormat="1" x14ac:dyDescent="0.2">
      <c r="J149" s="146"/>
    </row>
    <row r="150" spans="10:10" s="121" customFormat="1" x14ac:dyDescent="0.2">
      <c r="J150" s="146"/>
    </row>
    <row r="151" spans="10:10" s="121" customFormat="1" x14ac:dyDescent="0.2">
      <c r="J151" s="146"/>
    </row>
    <row r="152" spans="10:10" s="121" customFormat="1" x14ac:dyDescent="0.2">
      <c r="J152" s="146"/>
    </row>
    <row r="153" spans="10:10" s="121" customFormat="1" x14ac:dyDescent="0.2">
      <c r="J153" s="146"/>
    </row>
    <row r="154" spans="10:10" s="121" customFormat="1" x14ac:dyDescent="0.2">
      <c r="J154" s="146"/>
    </row>
    <row r="155" spans="10:10" s="121" customFormat="1" x14ac:dyDescent="0.2">
      <c r="J155" s="146"/>
    </row>
    <row r="156" spans="10:10" s="121" customFormat="1" x14ac:dyDescent="0.2">
      <c r="J156" s="146"/>
    </row>
    <row r="157" spans="10:10" s="121" customFormat="1" x14ac:dyDescent="0.2">
      <c r="J157" s="146"/>
    </row>
    <row r="158" spans="10:10" s="121" customFormat="1" x14ac:dyDescent="0.2">
      <c r="J158" s="146"/>
    </row>
    <row r="159" spans="10:10" s="121" customFormat="1" x14ac:dyDescent="0.2">
      <c r="J159" s="146"/>
    </row>
    <row r="160" spans="10:10" s="121" customFormat="1" x14ac:dyDescent="0.2">
      <c r="J160" s="146"/>
    </row>
    <row r="161" spans="10:10" s="121" customFormat="1" x14ac:dyDescent="0.2">
      <c r="J161" s="146"/>
    </row>
    <row r="162" spans="10:10" s="121" customFormat="1" x14ac:dyDescent="0.2">
      <c r="J162" s="146"/>
    </row>
    <row r="163" spans="10:10" s="121" customFormat="1" x14ac:dyDescent="0.2">
      <c r="J163" s="146"/>
    </row>
    <row r="164" spans="10:10" s="121" customFormat="1" x14ac:dyDescent="0.2">
      <c r="J164" s="146"/>
    </row>
    <row r="165" spans="10:10" s="121" customFormat="1" x14ac:dyDescent="0.2">
      <c r="J165" s="146"/>
    </row>
    <row r="166" spans="10:10" s="121" customFormat="1" x14ac:dyDescent="0.2">
      <c r="J166" s="146"/>
    </row>
    <row r="167" spans="10:10" s="121" customFormat="1" x14ac:dyDescent="0.2">
      <c r="J167" s="146"/>
    </row>
    <row r="168" spans="10:10" s="121" customFormat="1" x14ac:dyDescent="0.2">
      <c r="J168" s="146"/>
    </row>
    <row r="169" spans="10:10" s="121" customFormat="1" x14ac:dyDescent="0.2">
      <c r="J169" s="146"/>
    </row>
    <row r="170" spans="10:10" s="121" customFormat="1" x14ac:dyDescent="0.2">
      <c r="J170" s="146"/>
    </row>
    <row r="171" spans="10:10" s="121" customFormat="1" x14ac:dyDescent="0.2">
      <c r="J171" s="146"/>
    </row>
    <row r="172" spans="10:10" s="121" customFormat="1" x14ac:dyDescent="0.2">
      <c r="J172" s="146"/>
    </row>
    <row r="173" spans="10:10" s="121" customFormat="1" x14ac:dyDescent="0.2">
      <c r="J173" s="146"/>
    </row>
    <row r="174" spans="10:10" s="121" customFormat="1" x14ac:dyDescent="0.2">
      <c r="J174" s="146"/>
    </row>
    <row r="175" spans="10:10" s="121" customFormat="1" x14ac:dyDescent="0.2">
      <c r="J175" s="146"/>
    </row>
    <row r="176" spans="10:10" s="121" customFormat="1" x14ac:dyDescent="0.2">
      <c r="J176" s="146"/>
    </row>
    <row r="177" spans="10:10" s="121" customFormat="1" x14ac:dyDescent="0.2">
      <c r="J177" s="146"/>
    </row>
    <row r="178" spans="10:10" s="121" customFormat="1" x14ac:dyDescent="0.2">
      <c r="J178" s="146"/>
    </row>
    <row r="179" spans="10:10" s="121" customFormat="1" x14ac:dyDescent="0.2">
      <c r="J179" s="146"/>
    </row>
    <row r="180" spans="10:10" s="121" customFormat="1" x14ac:dyDescent="0.2">
      <c r="J180" s="146"/>
    </row>
    <row r="181" spans="10:10" s="121" customFormat="1" x14ac:dyDescent="0.2">
      <c r="J181" s="146"/>
    </row>
    <row r="182" spans="10:10" s="121" customFormat="1" x14ac:dyDescent="0.2">
      <c r="J182" s="146"/>
    </row>
    <row r="183" spans="10:10" s="121" customFormat="1" x14ac:dyDescent="0.2">
      <c r="J183" s="146"/>
    </row>
    <row r="184" spans="10:10" s="121" customFormat="1" x14ac:dyDescent="0.2">
      <c r="J184" s="146"/>
    </row>
    <row r="185" spans="10:10" s="121" customFormat="1" x14ac:dyDescent="0.2">
      <c r="J185" s="146"/>
    </row>
    <row r="186" spans="10:10" s="121" customFormat="1" x14ac:dyDescent="0.2">
      <c r="J186" s="146"/>
    </row>
    <row r="187" spans="10:10" s="121" customFormat="1" x14ac:dyDescent="0.2">
      <c r="J187" s="146"/>
    </row>
    <row r="188" spans="10:10" s="121" customFormat="1" x14ac:dyDescent="0.2">
      <c r="J188" s="146"/>
    </row>
    <row r="189" spans="10:10" s="121" customFormat="1" x14ac:dyDescent="0.2">
      <c r="J189" s="146"/>
    </row>
    <row r="190" spans="10:10" s="121" customFormat="1" x14ac:dyDescent="0.2">
      <c r="J190" s="146"/>
    </row>
    <row r="191" spans="10:10" s="121" customFormat="1" x14ac:dyDescent="0.2">
      <c r="J191" s="146"/>
    </row>
    <row r="192" spans="10:10" s="121" customFormat="1" x14ac:dyDescent="0.2">
      <c r="J192" s="146"/>
    </row>
    <row r="193" spans="10:10" s="121" customFormat="1" x14ac:dyDescent="0.2">
      <c r="J193" s="146"/>
    </row>
    <row r="194" spans="10:10" s="121" customFormat="1" x14ac:dyDescent="0.2">
      <c r="J194" s="146"/>
    </row>
    <row r="195" spans="10:10" s="121" customFormat="1" x14ac:dyDescent="0.2">
      <c r="J195" s="146"/>
    </row>
    <row r="196" spans="10:10" s="121" customFormat="1" x14ac:dyDescent="0.2">
      <c r="J196" s="146"/>
    </row>
    <row r="197" spans="10:10" s="121" customFormat="1" x14ac:dyDescent="0.2">
      <c r="J197" s="146"/>
    </row>
    <row r="198" spans="10:10" s="121" customFormat="1" x14ac:dyDescent="0.2">
      <c r="J198" s="146"/>
    </row>
    <row r="199" spans="10:10" s="121" customFormat="1" x14ac:dyDescent="0.2">
      <c r="J199" s="146"/>
    </row>
    <row r="200" spans="10:10" s="121" customFormat="1" x14ac:dyDescent="0.2">
      <c r="J200" s="146"/>
    </row>
    <row r="201" spans="10:10" s="121" customFormat="1" x14ac:dyDescent="0.2">
      <c r="J201" s="146"/>
    </row>
    <row r="202" spans="10:10" s="121" customFormat="1" x14ac:dyDescent="0.2">
      <c r="J202" s="146"/>
    </row>
    <row r="203" spans="10:10" s="121" customFormat="1" x14ac:dyDescent="0.2">
      <c r="J203" s="146"/>
    </row>
    <row r="204" spans="10:10" s="121" customFormat="1" x14ac:dyDescent="0.2">
      <c r="J204" s="146"/>
    </row>
    <row r="205" spans="10:10" s="121" customFormat="1" x14ac:dyDescent="0.2">
      <c r="J205" s="146"/>
    </row>
    <row r="206" spans="10:10" s="121" customFormat="1" x14ac:dyDescent="0.2">
      <c r="J206" s="146"/>
    </row>
    <row r="207" spans="10:10" s="121" customFormat="1" x14ac:dyDescent="0.2">
      <c r="J207" s="146"/>
    </row>
    <row r="208" spans="10:10" s="121" customFormat="1" x14ac:dyDescent="0.2">
      <c r="J208" s="146"/>
    </row>
    <row r="209" spans="10:10" s="121" customFormat="1" x14ac:dyDescent="0.2">
      <c r="J209" s="146"/>
    </row>
    <row r="210" spans="10:10" s="121" customFormat="1" x14ac:dyDescent="0.2">
      <c r="J210" s="146"/>
    </row>
    <row r="211" spans="10:10" s="121" customFormat="1" x14ac:dyDescent="0.2">
      <c r="J211" s="146"/>
    </row>
    <row r="212" spans="10:10" s="121" customFormat="1" x14ac:dyDescent="0.2">
      <c r="J212" s="146"/>
    </row>
    <row r="213" spans="10:10" s="121" customFormat="1" x14ac:dyDescent="0.2">
      <c r="J213" s="146"/>
    </row>
    <row r="214" spans="10:10" s="121" customFormat="1" x14ac:dyDescent="0.2">
      <c r="J214" s="146"/>
    </row>
    <row r="215" spans="10:10" s="121" customFormat="1" x14ac:dyDescent="0.2">
      <c r="J215" s="146"/>
    </row>
    <row r="216" spans="10:10" s="121" customFormat="1" x14ac:dyDescent="0.2">
      <c r="J216" s="146"/>
    </row>
    <row r="217" spans="10:10" s="121" customFormat="1" x14ac:dyDescent="0.2">
      <c r="J217" s="146"/>
    </row>
    <row r="218" spans="10:10" s="121" customFormat="1" x14ac:dyDescent="0.2">
      <c r="J218" s="146"/>
    </row>
    <row r="219" spans="10:10" s="121" customFormat="1" x14ac:dyDescent="0.2">
      <c r="J219" s="146"/>
    </row>
    <row r="220" spans="10:10" s="121" customFormat="1" x14ac:dyDescent="0.2">
      <c r="J220" s="146"/>
    </row>
    <row r="221" spans="10:10" s="121" customFormat="1" x14ac:dyDescent="0.2">
      <c r="J221" s="146"/>
    </row>
    <row r="222" spans="10:10" s="121" customFormat="1" x14ac:dyDescent="0.2">
      <c r="J222" s="146"/>
    </row>
    <row r="223" spans="10:10" s="121" customFormat="1" x14ac:dyDescent="0.2">
      <c r="J223" s="146"/>
    </row>
    <row r="224" spans="10:10" s="121" customFormat="1" x14ac:dyDescent="0.2">
      <c r="J224" s="146"/>
    </row>
    <row r="225" spans="10:10" s="121" customFormat="1" x14ac:dyDescent="0.2">
      <c r="J225" s="146"/>
    </row>
    <row r="226" spans="10:10" s="121" customFormat="1" x14ac:dyDescent="0.2">
      <c r="J226" s="146"/>
    </row>
    <row r="227" spans="10:10" s="121" customFormat="1" x14ac:dyDescent="0.2">
      <c r="J227" s="146"/>
    </row>
    <row r="228" spans="10:10" s="121" customFormat="1" x14ac:dyDescent="0.2">
      <c r="J228" s="146"/>
    </row>
    <row r="229" spans="10:10" s="121" customFormat="1" x14ac:dyDescent="0.2">
      <c r="J229" s="146"/>
    </row>
    <row r="230" spans="10:10" s="121" customFormat="1" x14ac:dyDescent="0.2">
      <c r="J230" s="146"/>
    </row>
    <row r="231" spans="10:10" s="121" customFormat="1" x14ac:dyDescent="0.2">
      <c r="J231" s="146"/>
    </row>
    <row r="232" spans="10:10" s="121" customFormat="1" x14ac:dyDescent="0.2">
      <c r="J232" s="146"/>
    </row>
    <row r="233" spans="10:10" s="121" customFormat="1" x14ac:dyDescent="0.2">
      <c r="J233" s="146"/>
    </row>
    <row r="234" spans="10:10" s="121" customFormat="1" x14ac:dyDescent="0.2">
      <c r="J234" s="146"/>
    </row>
    <row r="235" spans="10:10" s="121" customFormat="1" x14ac:dyDescent="0.2">
      <c r="J235" s="146"/>
    </row>
    <row r="236" spans="10:10" s="121" customFormat="1" x14ac:dyDescent="0.2">
      <c r="J236" s="146"/>
    </row>
    <row r="237" spans="10:10" s="121" customFormat="1" x14ac:dyDescent="0.2">
      <c r="J237" s="146"/>
    </row>
    <row r="238" spans="10:10" s="121" customFormat="1" x14ac:dyDescent="0.2">
      <c r="J238" s="146"/>
    </row>
    <row r="239" spans="10:10" s="121" customFormat="1" x14ac:dyDescent="0.2">
      <c r="J239" s="146"/>
    </row>
    <row r="240" spans="10:10" s="121" customFormat="1" x14ac:dyDescent="0.2">
      <c r="J240" s="146"/>
    </row>
    <row r="241" spans="10:10" s="121" customFormat="1" x14ac:dyDescent="0.2">
      <c r="J241" s="146"/>
    </row>
    <row r="242" spans="10:10" s="121" customFormat="1" x14ac:dyDescent="0.2">
      <c r="J242" s="146"/>
    </row>
    <row r="243" spans="10:10" s="121" customFormat="1" x14ac:dyDescent="0.2">
      <c r="J243" s="146"/>
    </row>
    <row r="244" spans="10:10" s="121" customFormat="1" x14ac:dyDescent="0.2">
      <c r="J244" s="146"/>
    </row>
    <row r="245" spans="10:10" s="121" customFormat="1" x14ac:dyDescent="0.2">
      <c r="J245" s="146"/>
    </row>
    <row r="246" spans="10:10" s="121" customFormat="1" x14ac:dyDescent="0.2">
      <c r="J246" s="146"/>
    </row>
    <row r="247" spans="10:10" s="121" customFormat="1" x14ac:dyDescent="0.2">
      <c r="J247" s="146"/>
    </row>
    <row r="248" spans="10:10" s="121" customFormat="1" x14ac:dyDescent="0.2">
      <c r="J248" s="146"/>
    </row>
    <row r="249" spans="10:10" s="121" customFormat="1" x14ac:dyDescent="0.2">
      <c r="J249" s="146"/>
    </row>
    <row r="250" spans="10:10" s="121" customFormat="1" x14ac:dyDescent="0.2">
      <c r="J250" s="146"/>
    </row>
    <row r="251" spans="10:10" s="121" customFormat="1" x14ac:dyDescent="0.2">
      <c r="J251" s="146"/>
    </row>
    <row r="252" spans="10:10" s="121" customFormat="1" x14ac:dyDescent="0.2">
      <c r="J252" s="146"/>
    </row>
    <row r="253" spans="10:10" s="121" customFormat="1" x14ac:dyDescent="0.2">
      <c r="J253" s="146"/>
    </row>
    <row r="254" spans="10:10" s="121" customFormat="1" x14ac:dyDescent="0.2">
      <c r="J254" s="146"/>
    </row>
    <row r="255" spans="10:10" s="121" customFormat="1" x14ac:dyDescent="0.2">
      <c r="J255" s="146"/>
    </row>
    <row r="256" spans="10:10" s="121" customFormat="1" x14ac:dyDescent="0.2">
      <c r="J256" s="146"/>
    </row>
    <row r="257" spans="10:10" s="121" customFormat="1" x14ac:dyDescent="0.2">
      <c r="J257" s="146"/>
    </row>
    <row r="258" spans="10:10" s="121" customFormat="1" x14ac:dyDescent="0.2">
      <c r="J258" s="146"/>
    </row>
    <row r="259" spans="10:10" s="121" customFormat="1" x14ac:dyDescent="0.2">
      <c r="J259" s="146"/>
    </row>
    <row r="260" spans="10:10" s="121" customFormat="1" x14ac:dyDescent="0.2">
      <c r="J260" s="146"/>
    </row>
    <row r="261" spans="10:10" s="121" customFormat="1" x14ac:dyDescent="0.2">
      <c r="J261" s="146"/>
    </row>
    <row r="262" spans="10:10" s="121" customFormat="1" x14ac:dyDescent="0.2">
      <c r="J262" s="146"/>
    </row>
    <row r="263" spans="10:10" s="121" customFormat="1" x14ac:dyDescent="0.2">
      <c r="J263" s="146"/>
    </row>
    <row r="264" spans="10:10" s="121" customFormat="1" x14ac:dyDescent="0.2">
      <c r="J264" s="146"/>
    </row>
    <row r="265" spans="10:10" s="121" customFormat="1" x14ac:dyDescent="0.2">
      <c r="J265" s="146"/>
    </row>
    <row r="266" spans="10:10" s="121" customFormat="1" x14ac:dyDescent="0.2">
      <c r="J266" s="146"/>
    </row>
    <row r="267" spans="10:10" s="121" customFormat="1" x14ac:dyDescent="0.2">
      <c r="J267" s="146"/>
    </row>
    <row r="268" spans="10:10" s="121" customFormat="1" x14ac:dyDescent="0.2">
      <c r="J268" s="146"/>
    </row>
    <row r="269" spans="10:10" s="121" customFormat="1" x14ac:dyDescent="0.2">
      <c r="J269" s="146"/>
    </row>
    <row r="270" spans="10:10" s="121" customFormat="1" x14ac:dyDescent="0.2">
      <c r="J270" s="146"/>
    </row>
    <row r="271" spans="10:10" s="121" customFormat="1" x14ac:dyDescent="0.2">
      <c r="J271" s="146"/>
    </row>
    <row r="272" spans="10:10" s="121" customFormat="1" x14ac:dyDescent="0.2">
      <c r="J272" s="146"/>
    </row>
    <row r="273" spans="10:10" s="121" customFormat="1" x14ac:dyDescent="0.2">
      <c r="J273" s="146"/>
    </row>
    <row r="274" spans="10:10" s="121" customFormat="1" x14ac:dyDescent="0.2">
      <c r="J274" s="146"/>
    </row>
    <row r="275" spans="10:10" s="121" customFormat="1" x14ac:dyDescent="0.2">
      <c r="J275" s="146"/>
    </row>
    <row r="276" spans="10:10" s="121" customFormat="1" x14ac:dyDescent="0.2">
      <c r="J276" s="146"/>
    </row>
    <row r="277" spans="10:10" s="121" customFormat="1" x14ac:dyDescent="0.2">
      <c r="J277" s="146"/>
    </row>
    <row r="278" spans="10:10" s="121" customFormat="1" x14ac:dyDescent="0.2">
      <c r="J278" s="146"/>
    </row>
    <row r="279" spans="10:10" s="121" customFormat="1" x14ac:dyDescent="0.2">
      <c r="J279" s="146"/>
    </row>
    <row r="280" spans="10:10" s="121" customFormat="1" x14ac:dyDescent="0.2">
      <c r="J280" s="146"/>
    </row>
    <row r="281" spans="10:10" s="121" customFormat="1" x14ac:dyDescent="0.2">
      <c r="J281" s="146"/>
    </row>
    <row r="282" spans="10:10" s="121" customFormat="1" x14ac:dyDescent="0.2">
      <c r="J282" s="146"/>
    </row>
    <row r="283" spans="10:10" s="121" customFormat="1" x14ac:dyDescent="0.2">
      <c r="J283" s="146"/>
    </row>
    <row r="284" spans="10:10" s="121" customFormat="1" x14ac:dyDescent="0.2">
      <c r="J284" s="146"/>
    </row>
    <row r="285" spans="10:10" s="121" customFormat="1" x14ac:dyDescent="0.2">
      <c r="J285" s="146"/>
    </row>
    <row r="286" spans="10:10" s="121" customFormat="1" x14ac:dyDescent="0.2">
      <c r="J286" s="146"/>
    </row>
    <row r="287" spans="10:10" s="121" customFormat="1" x14ac:dyDescent="0.2">
      <c r="J287" s="146"/>
    </row>
    <row r="288" spans="10:10" s="121" customFormat="1" x14ac:dyDescent="0.2">
      <c r="J288" s="146"/>
    </row>
    <row r="289" spans="10:10" s="121" customFormat="1" x14ac:dyDescent="0.2">
      <c r="J289" s="146"/>
    </row>
    <row r="290" spans="10:10" s="121" customFormat="1" x14ac:dyDescent="0.2">
      <c r="J290" s="146"/>
    </row>
    <row r="291" spans="10:10" s="121" customFormat="1" x14ac:dyDescent="0.2">
      <c r="J291" s="146"/>
    </row>
    <row r="292" spans="10:10" s="121" customFormat="1" x14ac:dyDescent="0.2">
      <c r="J292" s="146"/>
    </row>
    <row r="293" spans="10:10" s="121" customFormat="1" x14ac:dyDescent="0.2">
      <c r="J293" s="146"/>
    </row>
    <row r="294" spans="10:10" s="121" customFormat="1" x14ac:dyDescent="0.2">
      <c r="J294" s="146"/>
    </row>
    <row r="295" spans="10:10" s="121" customFormat="1" x14ac:dyDescent="0.2">
      <c r="J295" s="146"/>
    </row>
    <row r="296" spans="10:10" s="121" customFormat="1" x14ac:dyDescent="0.2">
      <c r="J296" s="146"/>
    </row>
    <row r="297" spans="10:10" s="121" customFormat="1" x14ac:dyDescent="0.2">
      <c r="J297" s="146"/>
    </row>
    <row r="298" spans="10:10" s="121" customFormat="1" x14ac:dyDescent="0.2">
      <c r="J298" s="146"/>
    </row>
    <row r="299" spans="10:10" s="121" customFormat="1" x14ac:dyDescent="0.2">
      <c r="J299" s="146"/>
    </row>
    <row r="300" spans="10:10" s="121" customFormat="1" x14ac:dyDescent="0.2">
      <c r="J300" s="146"/>
    </row>
    <row r="301" spans="10:10" s="121" customFormat="1" x14ac:dyDescent="0.2">
      <c r="J301" s="146"/>
    </row>
    <row r="302" spans="10:10" s="121" customFormat="1" x14ac:dyDescent="0.2">
      <c r="J302" s="146"/>
    </row>
    <row r="303" spans="10:10" s="121" customFormat="1" x14ac:dyDescent="0.2">
      <c r="J303" s="146"/>
    </row>
    <row r="304" spans="10:10" s="121" customFormat="1" x14ac:dyDescent="0.2">
      <c r="J304" s="146"/>
    </row>
    <row r="305" spans="10:10" s="121" customFormat="1" x14ac:dyDescent="0.2">
      <c r="J305" s="146"/>
    </row>
    <row r="306" spans="10:10" s="121" customFormat="1" x14ac:dyDescent="0.2">
      <c r="J306" s="146"/>
    </row>
    <row r="307" spans="10:10" s="121" customFormat="1" x14ac:dyDescent="0.2">
      <c r="J307" s="146"/>
    </row>
    <row r="308" spans="10:10" s="121" customFormat="1" x14ac:dyDescent="0.2">
      <c r="J308" s="146"/>
    </row>
    <row r="309" spans="10:10" s="121" customFormat="1" x14ac:dyDescent="0.2">
      <c r="J309" s="146"/>
    </row>
    <row r="310" spans="10:10" s="121" customFormat="1" x14ac:dyDescent="0.2">
      <c r="J310" s="146"/>
    </row>
    <row r="311" spans="10:10" s="121" customFormat="1" x14ac:dyDescent="0.2">
      <c r="J311" s="146"/>
    </row>
    <row r="312" spans="10:10" s="121" customFormat="1" x14ac:dyDescent="0.2">
      <c r="J312" s="146"/>
    </row>
    <row r="313" spans="10:10" s="121" customFormat="1" x14ac:dyDescent="0.2">
      <c r="J313" s="146"/>
    </row>
    <row r="314" spans="10:10" s="121" customFormat="1" x14ac:dyDescent="0.2">
      <c r="J314" s="146"/>
    </row>
    <row r="315" spans="10:10" s="121" customFormat="1" x14ac:dyDescent="0.2">
      <c r="J315" s="146"/>
    </row>
    <row r="316" spans="10:10" s="121" customFormat="1" x14ac:dyDescent="0.2">
      <c r="J316" s="146"/>
    </row>
    <row r="317" spans="10:10" s="121" customFormat="1" x14ac:dyDescent="0.2">
      <c r="J317" s="146"/>
    </row>
    <row r="318" spans="10:10" s="121" customFormat="1" x14ac:dyDescent="0.2">
      <c r="J318" s="146"/>
    </row>
    <row r="319" spans="10:10" s="121" customFormat="1" x14ac:dyDescent="0.2">
      <c r="J319" s="146"/>
    </row>
    <row r="320" spans="10:10" s="121" customFormat="1" x14ac:dyDescent="0.2">
      <c r="J320" s="146"/>
    </row>
    <row r="321" spans="10:10" s="121" customFormat="1" x14ac:dyDescent="0.2">
      <c r="J321" s="146"/>
    </row>
    <row r="322" spans="10:10" s="121" customFormat="1" x14ac:dyDescent="0.2">
      <c r="J322" s="146"/>
    </row>
    <row r="323" spans="10:10" s="121" customFormat="1" x14ac:dyDescent="0.2">
      <c r="J323" s="146"/>
    </row>
    <row r="324" spans="10:10" s="121" customFormat="1" x14ac:dyDescent="0.2">
      <c r="J324" s="146"/>
    </row>
    <row r="325" spans="10:10" s="121" customFormat="1" x14ac:dyDescent="0.2">
      <c r="J325" s="146"/>
    </row>
    <row r="326" spans="10:10" s="121" customFormat="1" x14ac:dyDescent="0.2">
      <c r="J326" s="146"/>
    </row>
    <row r="327" spans="10:10" s="121" customFormat="1" x14ac:dyDescent="0.2">
      <c r="J327" s="146"/>
    </row>
    <row r="328" spans="10:10" s="121" customFormat="1" x14ac:dyDescent="0.2">
      <c r="J328" s="146"/>
    </row>
    <row r="329" spans="10:10" s="121" customFormat="1" x14ac:dyDescent="0.2">
      <c r="J329" s="146"/>
    </row>
    <row r="330" spans="10:10" s="121" customFormat="1" x14ac:dyDescent="0.2">
      <c r="J330" s="146"/>
    </row>
    <row r="331" spans="10:10" s="121" customFormat="1" x14ac:dyDescent="0.2">
      <c r="J331" s="146"/>
    </row>
    <row r="332" spans="10:10" s="121" customFormat="1" x14ac:dyDescent="0.2">
      <c r="J332" s="146"/>
    </row>
    <row r="333" spans="10:10" s="121" customFormat="1" x14ac:dyDescent="0.2">
      <c r="J333" s="146"/>
    </row>
    <row r="334" spans="10:10" s="121" customFormat="1" x14ac:dyDescent="0.2">
      <c r="J334" s="146"/>
    </row>
    <row r="335" spans="10:10" s="121" customFormat="1" x14ac:dyDescent="0.2">
      <c r="J335" s="146"/>
    </row>
    <row r="336" spans="10:10" s="121" customFormat="1" x14ac:dyDescent="0.2">
      <c r="J336" s="146"/>
    </row>
    <row r="337" spans="10:10" s="121" customFormat="1" x14ac:dyDescent="0.2">
      <c r="J337" s="146"/>
    </row>
    <row r="338" spans="10:10" s="121" customFormat="1" x14ac:dyDescent="0.2">
      <c r="J338" s="146"/>
    </row>
    <row r="339" spans="10:10" s="121" customFormat="1" x14ac:dyDescent="0.2">
      <c r="J339" s="146"/>
    </row>
    <row r="340" spans="10:10" s="121" customFormat="1" x14ac:dyDescent="0.2">
      <c r="J340" s="146"/>
    </row>
    <row r="341" spans="10:10" s="121" customFormat="1" x14ac:dyDescent="0.2">
      <c r="J341" s="146"/>
    </row>
    <row r="342" spans="10:10" s="121" customFormat="1" x14ac:dyDescent="0.2">
      <c r="J342" s="146"/>
    </row>
    <row r="343" spans="10:10" s="121" customFormat="1" x14ac:dyDescent="0.2">
      <c r="J343" s="146"/>
    </row>
    <row r="344" spans="10:10" s="121" customFormat="1" x14ac:dyDescent="0.2">
      <c r="J344" s="146"/>
    </row>
    <row r="345" spans="10:10" s="121" customFormat="1" x14ac:dyDescent="0.2">
      <c r="J345" s="146"/>
    </row>
    <row r="346" spans="10:10" s="121" customFormat="1" x14ac:dyDescent="0.2">
      <c r="J346" s="146"/>
    </row>
    <row r="347" spans="10:10" s="121" customFormat="1" x14ac:dyDescent="0.2">
      <c r="J347" s="146"/>
    </row>
  </sheetData>
  <sheetProtection algorithmName="SHA-512" hashValue="4YXZ7/TamtPgmobqHhRtNESR9k+jFZyxFY3CfZJlrlFqLehsGM6XQ6L3d29b1D1+xAdG+tYTNnwpf/rlofg/sA==" saltValue="ge8+hHNacebh12fYKXWwiw==" spinCount="100000" sheet="1" objects="1" scenarios="1" formatCells="0" formatColumns="0" formatRows="0"/>
  <dataConsolidate/>
  <mergeCells count="13">
    <mergeCell ref="B35:C35"/>
    <mergeCell ref="E35:I35"/>
    <mergeCell ref="B9:J9"/>
    <mergeCell ref="B11:J11"/>
    <mergeCell ref="B13:J13"/>
    <mergeCell ref="B16:J16"/>
    <mergeCell ref="B17:J17"/>
    <mergeCell ref="B18:J18"/>
    <mergeCell ref="B2:I2"/>
    <mergeCell ref="B4:J4"/>
    <mergeCell ref="B7:J7"/>
    <mergeCell ref="B19:J19"/>
    <mergeCell ref="B31:C31"/>
  </mergeCells>
  <dataValidations count="1">
    <dataValidation type="list" allowBlank="1" showInputMessage="1" showErrorMessage="1" sqref="E35:I35">
      <formula1>tonnage_range_fuels</formula1>
    </dataValidation>
  </dataValidations>
  <hyperlinks>
    <hyperlink ref="B52" location="'PT6-fuels'!A1" display="Go to the top of the page"/>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E222"/>
  <sheetViews>
    <sheetView workbookViewId="0"/>
  </sheetViews>
  <sheetFormatPr defaultColWidth="8.75" defaultRowHeight="12.75" x14ac:dyDescent="0.2"/>
  <cols>
    <col min="1" max="1" width="1.625" style="1" customWidth="1"/>
    <col min="2" max="2" width="53.5" style="1" customWidth="1"/>
    <col min="3" max="3" width="30.625" style="1" customWidth="1"/>
    <col min="4" max="4" width="28.375" style="1" customWidth="1"/>
    <col min="5" max="5" width="32.375" style="1" customWidth="1"/>
    <col min="6" max="6" width="17.375" style="1" bestFit="1" customWidth="1"/>
    <col min="7" max="7" width="11.375" style="1" bestFit="1" customWidth="1"/>
    <col min="8" max="8" width="19.375" style="1" customWidth="1"/>
    <col min="9" max="9" width="14.125" style="1" customWidth="1"/>
    <col min="10" max="10" width="13.125" style="1" customWidth="1"/>
    <col min="11" max="11" width="16.125" style="1" customWidth="1"/>
    <col min="12" max="12" width="20.375" style="1" customWidth="1"/>
    <col min="13" max="13" width="10.625" style="1" customWidth="1"/>
    <col min="14" max="14" width="11.25" style="1" customWidth="1"/>
    <col min="15" max="16384" width="8.75" style="1"/>
  </cols>
  <sheetData>
    <row r="2" spans="2:5" ht="18" x14ac:dyDescent="0.2">
      <c r="B2" s="13" t="s">
        <v>343</v>
      </c>
      <c r="C2" s="13"/>
      <c r="D2" s="13"/>
      <c r="E2" s="13"/>
    </row>
    <row r="4" spans="2:5" x14ac:dyDescent="0.2">
      <c r="B4" s="1" t="s">
        <v>350</v>
      </c>
    </row>
    <row r="6" spans="2:5" x14ac:dyDescent="0.2">
      <c r="B6" s="14" t="s">
        <v>349</v>
      </c>
      <c r="C6" s="219" t="s">
        <v>397</v>
      </c>
    </row>
    <row r="7" spans="2:5" x14ac:dyDescent="0.2">
      <c r="B7" s="218" t="s">
        <v>348</v>
      </c>
      <c r="C7" s="220" t="s">
        <v>55</v>
      </c>
    </row>
    <row r="8" spans="2:5" x14ac:dyDescent="0.2">
      <c r="B8" s="206" t="s">
        <v>432</v>
      </c>
      <c r="C8" s="85">
        <v>2.5000000000000001E-3</v>
      </c>
    </row>
    <row r="9" spans="2:5" x14ac:dyDescent="0.2">
      <c r="B9" s="206" t="s">
        <v>770</v>
      </c>
      <c r="C9" s="85">
        <v>5.0000000000000001E-3</v>
      </c>
    </row>
    <row r="10" spans="2:5" x14ac:dyDescent="0.2">
      <c r="B10" s="206" t="s">
        <v>771</v>
      </c>
      <c r="C10" s="85">
        <v>0.01</v>
      </c>
    </row>
    <row r="11" spans="2:5" x14ac:dyDescent="0.2">
      <c r="B11" s="400" t="s">
        <v>769</v>
      </c>
      <c r="C11" s="85">
        <v>2.5000000000000001E-2</v>
      </c>
    </row>
    <row r="13" spans="2:5" x14ac:dyDescent="0.2">
      <c r="B13" s="14" t="s">
        <v>351</v>
      </c>
      <c r="C13" s="219" t="s">
        <v>396</v>
      </c>
    </row>
    <row r="14" spans="2:5" x14ac:dyDescent="0.2">
      <c r="B14" s="218" t="s">
        <v>352</v>
      </c>
      <c r="C14" s="220" t="s">
        <v>55</v>
      </c>
    </row>
    <row r="15" spans="2:5" x14ac:dyDescent="0.2">
      <c r="B15" s="206" t="s">
        <v>353</v>
      </c>
      <c r="C15" s="85">
        <v>0.02</v>
      </c>
    </row>
    <row r="16" spans="2:5" x14ac:dyDescent="0.2">
      <c r="B16" s="400" t="s">
        <v>768</v>
      </c>
      <c r="C16" s="85">
        <v>3.0000000000000001E-3</v>
      </c>
    </row>
    <row r="18" spans="2:5" x14ac:dyDescent="0.2">
      <c r="B18" s="14" t="s">
        <v>354</v>
      </c>
      <c r="C18" s="219" t="s">
        <v>355</v>
      </c>
    </row>
    <row r="19" spans="2:5" x14ac:dyDescent="0.2">
      <c r="B19" s="206" t="s">
        <v>355</v>
      </c>
      <c r="C19" s="85">
        <v>1E-4</v>
      </c>
    </row>
    <row r="21" spans="2:5" x14ac:dyDescent="0.2">
      <c r="B21" s="14" t="s">
        <v>347</v>
      </c>
      <c r="C21" s="208"/>
    </row>
    <row r="22" spans="2:5" x14ac:dyDescent="0.2">
      <c r="B22" s="206" t="s">
        <v>344</v>
      </c>
      <c r="C22" s="206"/>
    </row>
    <row r="23" spans="2:5" x14ac:dyDescent="0.2">
      <c r="B23" s="206" t="s">
        <v>345</v>
      </c>
      <c r="C23" s="206"/>
    </row>
    <row r="24" spans="2:5" x14ac:dyDescent="0.2">
      <c r="B24" s="206" t="s">
        <v>346</v>
      </c>
      <c r="C24" s="206"/>
    </row>
    <row r="28" spans="2:5" s="4" customFormat="1" ht="18" x14ac:dyDescent="0.2">
      <c r="B28" s="13" t="s">
        <v>54</v>
      </c>
      <c r="C28" s="13"/>
      <c r="D28" s="13"/>
      <c r="E28" s="13"/>
    </row>
    <row r="29" spans="2:5" s="4" customFormat="1" x14ac:dyDescent="0.2">
      <c r="B29" s="222"/>
      <c r="C29" s="222"/>
      <c r="D29" s="1"/>
      <c r="E29" s="1"/>
    </row>
    <row r="30" spans="2:5" s="222" customFormat="1" x14ac:dyDescent="0.2">
      <c r="B30" s="222" t="s">
        <v>395</v>
      </c>
      <c r="D30" s="221"/>
      <c r="E30" s="221"/>
    </row>
    <row r="31" spans="2:5" x14ac:dyDescent="0.2">
      <c r="B31" s="14" t="s">
        <v>47</v>
      </c>
      <c r="C31" s="14" t="s">
        <v>369</v>
      </c>
    </row>
    <row r="32" spans="2:5" x14ac:dyDescent="0.2">
      <c r="B32" s="80" t="s">
        <v>364</v>
      </c>
      <c r="C32" s="180" t="s">
        <v>55</v>
      </c>
    </row>
    <row r="33" spans="2:5" x14ac:dyDescent="0.2">
      <c r="B33" s="83" t="s">
        <v>365</v>
      </c>
      <c r="C33" s="180">
        <v>1E-4</v>
      </c>
    </row>
    <row r="34" spans="2:5" x14ac:dyDescent="0.2">
      <c r="B34" s="223" t="s">
        <v>366</v>
      </c>
      <c r="C34" s="180">
        <v>1.0000000000000001E-5</v>
      </c>
    </row>
    <row r="35" spans="2:5" x14ac:dyDescent="0.2">
      <c r="B35" s="81" t="s">
        <v>367</v>
      </c>
      <c r="C35" s="180">
        <v>8.9999999999999998E-4</v>
      </c>
    </row>
    <row r="36" spans="2:5" x14ac:dyDescent="0.2">
      <c r="B36" s="81" t="s">
        <v>368</v>
      </c>
      <c r="C36" s="180">
        <v>8.9999999999999998E-4</v>
      </c>
    </row>
    <row r="37" spans="2:5" x14ac:dyDescent="0.2">
      <c r="B37" s="2"/>
    </row>
    <row r="38" spans="2:5" x14ac:dyDescent="0.2">
      <c r="B38" s="222" t="s">
        <v>553</v>
      </c>
    </row>
    <row r="39" spans="2:5" x14ac:dyDescent="0.2">
      <c r="B39" s="14" t="s">
        <v>370</v>
      </c>
      <c r="C39" s="224" t="s">
        <v>371</v>
      </c>
      <c r="D39" s="224" t="s">
        <v>138</v>
      </c>
      <c r="E39" s="224" t="s">
        <v>431</v>
      </c>
    </row>
    <row r="40" spans="2:5" x14ac:dyDescent="0.2">
      <c r="B40" s="80" t="s">
        <v>380</v>
      </c>
      <c r="C40" s="225" t="s">
        <v>55</v>
      </c>
      <c r="D40" s="225" t="s">
        <v>55</v>
      </c>
      <c r="E40" s="225" t="s">
        <v>55</v>
      </c>
    </row>
    <row r="41" spans="2:5" x14ac:dyDescent="0.2">
      <c r="B41" s="83" t="s">
        <v>375</v>
      </c>
      <c r="C41" s="180">
        <v>1</v>
      </c>
      <c r="D41" s="180" t="s">
        <v>372</v>
      </c>
      <c r="E41" s="180" t="str">
        <f>IF(ISNUMBER('PT6-detergents &amp; clean. fluids'!TONNAGEregform),2*C41*'PT6-detergents &amp; clean. fluids'!TONNAGEregform,"TONNAGEregform missing")</f>
        <v>TONNAGEregform missing</v>
      </c>
    </row>
    <row r="42" spans="2:5" x14ac:dyDescent="0.2">
      <c r="B42" s="399" t="s">
        <v>717</v>
      </c>
      <c r="C42" s="180">
        <v>0.6</v>
      </c>
      <c r="D42" s="180" t="s">
        <v>373</v>
      </c>
      <c r="E42" s="180" t="str">
        <f>IF(ISNUMBER('PT6-detergents &amp; clean. fluids'!TONNAGEregform),C42*'PT6-detergents &amp; clean. fluids'!TONNAGEregform,"TONNAGEregform missing")</f>
        <v>TONNAGEregform missing</v>
      </c>
    </row>
    <row r="43" spans="2:5" x14ac:dyDescent="0.2">
      <c r="B43" s="83" t="s">
        <v>718</v>
      </c>
      <c r="C43" s="180">
        <v>0.6</v>
      </c>
      <c r="D43" s="180" t="s">
        <v>374</v>
      </c>
      <c r="E43" s="180" t="str">
        <f>IF(ISNUMBER('PT6-detergents &amp; clean. fluids'!TONNAGEregform),0.5*C43*'PT6-detergents &amp; clean. fluids'!TONNAGEregform,"TONNAGEregform missing")</f>
        <v>TONNAGEregform missing</v>
      </c>
    </row>
    <row r="44" spans="2:5" x14ac:dyDescent="0.2">
      <c r="B44" s="400" t="s">
        <v>716</v>
      </c>
      <c r="C44" s="180">
        <v>0.4</v>
      </c>
      <c r="D44" s="180">
        <v>300</v>
      </c>
      <c r="E44" s="180">
        <f>D44</f>
        <v>300</v>
      </c>
    </row>
    <row r="45" spans="2:5" x14ac:dyDescent="0.2">
      <c r="B45" s="83" t="s">
        <v>376</v>
      </c>
      <c r="C45" s="180">
        <v>1</v>
      </c>
      <c r="D45" s="180">
        <v>300</v>
      </c>
      <c r="E45" s="180">
        <f t="shared" ref="E45:E49" si="0">D45</f>
        <v>300</v>
      </c>
    </row>
    <row r="46" spans="2:5" x14ac:dyDescent="0.2">
      <c r="B46" s="399" t="s">
        <v>719</v>
      </c>
      <c r="C46" s="180">
        <v>0.8</v>
      </c>
      <c r="D46" s="180">
        <v>300</v>
      </c>
      <c r="E46" s="180">
        <f t="shared" si="0"/>
        <v>300</v>
      </c>
    </row>
    <row r="47" spans="2:5" x14ac:dyDescent="0.2">
      <c r="B47" s="83" t="s">
        <v>720</v>
      </c>
      <c r="C47" s="180">
        <v>0.7</v>
      </c>
      <c r="D47" s="180">
        <v>300</v>
      </c>
      <c r="E47" s="180">
        <f t="shared" si="0"/>
        <v>300</v>
      </c>
    </row>
    <row r="48" spans="2:5" x14ac:dyDescent="0.2">
      <c r="B48" s="83" t="s">
        <v>721</v>
      </c>
      <c r="C48" s="180">
        <v>0.6</v>
      </c>
      <c r="D48" s="180">
        <v>300</v>
      </c>
      <c r="E48" s="180">
        <f t="shared" si="0"/>
        <v>300</v>
      </c>
    </row>
    <row r="49" spans="2:5" x14ac:dyDescent="0.2">
      <c r="B49" s="400" t="s">
        <v>722</v>
      </c>
      <c r="C49" s="180">
        <v>0.4</v>
      </c>
      <c r="D49" s="180">
        <v>300</v>
      </c>
      <c r="E49" s="180">
        <f t="shared" si="0"/>
        <v>300</v>
      </c>
    </row>
    <row r="50" spans="2:5" x14ac:dyDescent="0.2">
      <c r="B50" s="2"/>
    </row>
    <row r="51" spans="2:5" x14ac:dyDescent="0.2">
      <c r="B51" s="14" t="s">
        <v>47</v>
      </c>
    </row>
    <row r="52" spans="2:5" x14ac:dyDescent="0.2">
      <c r="B52" s="80" t="s">
        <v>36</v>
      </c>
    </row>
    <row r="53" spans="2:5" x14ac:dyDescent="0.2">
      <c r="B53" s="81" t="s">
        <v>48</v>
      </c>
    </row>
    <row r="54" spans="2:5" x14ac:dyDescent="0.2">
      <c r="B54" s="81" t="s">
        <v>49</v>
      </c>
      <c r="C54" s="82"/>
    </row>
    <row r="55" spans="2:5" x14ac:dyDescent="0.2">
      <c r="B55" s="2"/>
    </row>
    <row r="56" spans="2:5" x14ac:dyDescent="0.2">
      <c r="B56" s="2" t="s">
        <v>554</v>
      </c>
    </row>
    <row r="57" spans="2:5" ht="51" x14ac:dyDescent="0.2">
      <c r="B57" s="14" t="s">
        <v>37</v>
      </c>
      <c r="C57" s="15" t="s">
        <v>56</v>
      </c>
    </row>
    <row r="58" spans="2:5" x14ac:dyDescent="0.2">
      <c r="B58" s="80" t="s">
        <v>38</v>
      </c>
      <c r="C58" s="85" t="s">
        <v>55</v>
      </c>
    </row>
    <row r="59" spans="2:5" x14ac:dyDescent="0.2">
      <c r="B59" s="83" t="s">
        <v>50</v>
      </c>
      <c r="C59" s="85">
        <v>5.4</v>
      </c>
    </row>
    <row r="60" spans="2:5" x14ac:dyDescent="0.2">
      <c r="B60" s="83" t="s">
        <v>51</v>
      </c>
      <c r="C60" s="85">
        <v>5.4</v>
      </c>
    </row>
    <row r="61" spans="2:5" x14ac:dyDescent="0.2">
      <c r="B61" s="81" t="s">
        <v>52</v>
      </c>
      <c r="C61" s="85">
        <v>10</v>
      </c>
    </row>
    <row r="62" spans="2:5" x14ac:dyDescent="0.2">
      <c r="B62" s="81" t="s">
        <v>53</v>
      </c>
      <c r="C62" s="85">
        <v>10</v>
      </c>
    </row>
    <row r="66" spans="2:5" ht="18" x14ac:dyDescent="0.2">
      <c r="B66" s="13" t="s">
        <v>418</v>
      </c>
      <c r="C66" s="176"/>
      <c r="D66" s="13"/>
      <c r="E66" s="13"/>
    </row>
    <row r="68" spans="2:5" x14ac:dyDescent="0.2">
      <c r="B68" s="324" t="s">
        <v>572</v>
      </c>
    </row>
    <row r="69" spans="2:5" x14ac:dyDescent="0.2">
      <c r="B69" s="14" t="s">
        <v>370</v>
      </c>
      <c r="C69" s="224" t="s">
        <v>371</v>
      </c>
      <c r="D69" s="224" t="s">
        <v>138</v>
      </c>
    </row>
    <row r="70" spans="2:5" x14ac:dyDescent="0.2">
      <c r="B70" s="80" t="s">
        <v>380</v>
      </c>
      <c r="C70" s="180" t="s">
        <v>55</v>
      </c>
      <c r="D70" s="180" t="s">
        <v>55</v>
      </c>
    </row>
    <row r="71" spans="2:5" x14ac:dyDescent="0.2">
      <c r="B71" s="83" t="s">
        <v>398</v>
      </c>
      <c r="C71" s="180">
        <v>1</v>
      </c>
      <c r="D71" s="180">
        <v>300</v>
      </c>
    </row>
    <row r="72" spans="2:5" x14ac:dyDescent="0.2">
      <c r="B72" s="223" t="s">
        <v>729</v>
      </c>
      <c r="C72" s="180">
        <v>0.8</v>
      </c>
      <c r="D72" s="180">
        <v>300</v>
      </c>
    </row>
    <row r="73" spans="2:5" x14ac:dyDescent="0.2">
      <c r="B73" s="81" t="s">
        <v>730</v>
      </c>
      <c r="C73" s="180">
        <v>0.7</v>
      </c>
      <c r="D73" s="180">
        <v>300</v>
      </c>
    </row>
    <row r="74" spans="2:5" x14ac:dyDescent="0.2">
      <c r="B74" s="81" t="s">
        <v>731</v>
      </c>
      <c r="C74" s="180">
        <v>0.6</v>
      </c>
      <c r="D74" s="180">
        <v>300</v>
      </c>
    </row>
    <row r="75" spans="2:5" x14ac:dyDescent="0.2">
      <c r="B75" s="400" t="s">
        <v>728</v>
      </c>
      <c r="C75" s="180">
        <v>0.4</v>
      </c>
      <c r="D75" s="180">
        <v>300</v>
      </c>
    </row>
    <row r="77" spans="2:5" x14ac:dyDescent="0.2">
      <c r="B77" s="325" t="s">
        <v>236</v>
      </c>
    </row>
    <row r="78" spans="2:5" x14ac:dyDescent="0.2">
      <c r="B78" s="178"/>
      <c r="C78" s="15" t="s">
        <v>232</v>
      </c>
    </row>
    <row r="79" spans="2:5" x14ac:dyDescent="0.2">
      <c r="B79" s="179" t="s">
        <v>233</v>
      </c>
      <c r="C79" s="180" t="s">
        <v>55</v>
      </c>
    </row>
    <row r="80" spans="2:5" x14ac:dyDescent="0.2">
      <c r="B80" s="181" t="s">
        <v>234</v>
      </c>
      <c r="C80" s="180">
        <v>0.03</v>
      </c>
    </row>
    <row r="81" spans="2:5" x14ac:dyDescent="0.2">
      <c r="B81" s="181" t="s">
        <v>235</v>
      </c>
      <c r="C81" s="180">
        <v>0.05</v>
      </c>
    </row>
    <row r="85" spans="2:5" ht="18" x14ac:dyDescent="0.2">
      <c r="B85" s="13" t="s">
        <v>428</v>
      </c>
      <c r="C85" s="176"/>
      <c r="D85" s="13"/>
      <c r="E85" s="13"/>
    </row>
    <row r="86" spans="2:5" x14ac:dyDescent="0.2">
      <c r="B86" s="2"/>
    </row>
    <row r="87" spans="2:5" x14ac:dyDescent="0.2">
      <c r="B87" s="324" t="s">
        <v>593</v>
      </c>
    </row>
    <row r="88" spans="2:5" x14ac:dyDescent="0.2">
      <c r="B88" s="14" t="s">
        <v>370</v>
      </c>
      <c r="C88" s="224" t="s">
        <v>371</v>
      </c>
      <c r="D88" s="224" t="s">
        <v>138</v>
      </c>
      <c r="E88" s="224" t="s">
        <v>431</v>
      </c>
    </row>
    <row r="89" spans="2:5" ht="24" customHeight="1" x14ac:dyDescent="0.2">
      <c r="B89" s="268" t="s">
        <v>482</v>
      </c>
      <c r="C89" s="225" t="s">
        <v>55</v>
      </c>
      <c r="D89" s="225" t="s">
        <v>55</v>
      </c>
      <c r="E89" s="225" t="s">
        <v>55</v>
      </c>
    </row>
    <row r="90" spans="2:5" x14ac:dyDescent="0.2">
      <c r="B90" s="269" t="s">
        <v>376</v>
      </c>
      <c r="C90" s="270">
        <v>1</v>
      </c>
      <c r="D90" s="270">
        <v>300</v>
      </c>
      <c r="E90" s="270">
        <f>D90</f>
        <v>300</v>
      </c>
    </row>
    <row r="91" spans="2:5" x14ac:dyDescent="0.2">
      <c r="B91" s="401" t="s">
        <v>719</v>
      </c>
      <c r="C91" s="270">
        <v>0.8</v>
      </c>
      <c r="D91" s="270">
        <v>300</v>
      </c>
      <c r="E91" s="270">
        <f t="shared" ref="E91:E96" si="1">D91</f>
        <v>300</v>
      </c>
    </row>
    <row r="92" spans="2:5" x14ac:dyDescent="0.2">
      <c r="B92" s="269" t="s">
        <v>720</v>
      </c>
      <c r="C92" s="270">
        <v>0.7</v>
      </c>
      <c r="D92" s="270">
        <v>300</v>
      </c>
      <c r="E92" s="270">
        <f t="shared" si="1"/>
        <v>300</v>
      </c>
    </row>
    <row r="93" spans="2:5" x14ac:dyDescent="0.2">
      <c r="B93" s="269" t="s">
        <v>734</v>
      </c>
      <c r="C93" s="270">
        <v>0.6</v>
      </c>
      <c r="D93" s="270">
        <v>300</v>
      </c>
      <c r="E93" s="270">
        <f t="shared" si="1"/>
        <v>300</v>
      </c>
    </row>
    <row r="94" spans="2:5" x14ac:dyDescent="0.2">
      <c r="B94" s="402" t="s">
        <v>732</v>
      </c>
      <c r="C94" s="270">
        <v>0.4</v>
      </c>
      <c r="D94" s="270">
        <v>300</v>
      </c>
      <c r="E94" s="270">
        <f t="shared" si="1"/>
        <v>300</v>
      </c>
    </row>
    <row r="95" spans="2:5" x14ac:dyDescent="0.2">
      <c r="B95" s="272" t="s">
        <v>429</v>
      </c>
      <c r="C95" s="226">
        <v>1</v>
      </c>
      <c r="D95" s="226">
        <v>20</v>
      </c>
      <c r="E95" s="226">
        <f t="shared" si="1"/>
        <v>20</v>
      </c>
    </row>
    <row r="96" spans="2:5" x14ac:dyDescent="0.2">
      <c r="B96" s="403" t="s">
        <v>735</v>
      </c>
      <c r="C96" s="226">
        <v>1</v>
      </c>
      <c r="D96" s="226">
        <v>60</v>
      </c>
      <c r="E96" s="226">
        <f t="shared" si="1"/>
        <v>60</v>
      </c>
    </row>
    <row r="97" spans="2:5" x14ac:dyDescent="0.2">
      <c r="B97" s="272" t="s">
        <v>736</v>
      </c>
      <c r="C97" s="226">
        <v>1</v>
      </c>
      <c r="D97" s="226" t="s">
        <v>372</v>
      </c>
      <c r="E97" s="226" t="str">
        <f>IF(ISNUMBER('PT6-paper'!TONNAGEregform_formulation),2*C97*'PT6-paper'!TONNAGEregform_formulation,"TONNAGEregform missing")</f>
        <v>TONNAGEregform missing</v>
      </c>
    </row>
    <row r="98" spans="2:5" x14ac:dyDescent="0.2">
      <c r="B98" s="272" t="s">
        <v>737</v>
      </c>
      <c r="C98" s="226">
        <v>0.8</v>
      </c>
      <c r="D98" s="226" t="s">
        <v>373</v>
      </c>
      <c r="E98" s="226" t="str">
        <f>IF(ISNUMBER('PT6-paper'!TONNAGEregform_formulation),C98*'PT6-paper'!TONNAGEregform_formulation,"TONNAGEregform missing")</f>
        <v>TONNAGEregform missing</v>
      </c>
    </row>
    <row r="99" spans="2:5" x14ac:dyDescent="0.2">
      <c r="B99" s="272" t="s">
        <v>738</v>
      </c>
      <c r="C99" s="226">
        <v>0.6</v>
      </c>
      <c r="D99" s="226" t="s">
        <v>374</v>
      </c>
      <c r="E99" s="226" t="str">
        <f>IF(ISNUMBER('PT6-paper'!TONNAGEregform_formulation),0.5*C99*'PT6-paper'!TONNAGEregform_formulation,"TONNAGEregform missing")</f>
        <v>TONNAGEregform missing</v>
      </c>
    </row>
    <row r="100" spans="2:5" x14ac:dyDescent="0.2">
      <c r="B100" s="404" t="s">
        <v>733</v>
      </c>
      <c r="C100" s="226">
        <v>0.4</v>
      </c>
      <c r="D100" s="226">
        <v>300</v>
      </c>
      <c r="E100" s="226">
        <f>D100</f>
        <v>300</v>
      </c>
    </row>
    <row r="101" spans="2:5" x14ac:dyDescent="0.2">
      <c r="B101" s="269" t="s">
        <v>430</v>
      </c>
      <c r="C101" s="270">
        <v>1</v>
      </c>
      <c r="D101" s="270" t="s">
        <v>372</v>
      </c>
      <c r="E101" s="270" t="str">
        <f>IF(ISNUMBER('PT6-paper'!TONNAGEregform_formulation),2*C101*'PT6-paper'!TONNAGEregform_formulation,"TONNAGEregform missing")</f>
        <v>TONNAGEregform missing</v>
      </c>
    </row>
    <row r="102" spans="2:5" x14ac:dyDescent="0.2">
      <c r="B102" s="269" t="s">
        <v>739</v>
      </c>
      <c r="C102" s="270">
        <v>0.6</v>
      </c>
      <c r="D102" s="270" t="s">
        <v>373</v>
      </c>
      <c r="E102" s="270" t="str">
        <f>IF(ISNUMBER('PT6-paper'!TONNAGEregform_formulation),C102*'PT6-paper'!TONNAGEregform_formulation,"TONNAGEregform missing")</f>
        <v>TONNAGEregform missing</v>
      </c>
    </row>
    <row r="103" spans="2:5" x14ac:dyDescent="0.2">
      <c r="B103" s="269" t="s">
        <v>740</v>
      </c>
      <c r="C103" s="270">
        <v>0.6</v>
      </c>
      <c r="D103" s="270" t="s">
        <v>374</v>
      </c>
      <c r="E103" s="270" t="str">
        <f>IF(ISNUMBER('PT6-paper'!TONNAGEregform_formulation),0.5*C103*'PT6-paper'!TONNAGEregform_formulation,"TONNAGEregform missing")</f>
        <v>TONNAGEregform missing</v>
      </c>
    </row>
    <row r="104" spans="2:5" x14ac:dyDescent="0.2">
      <c r="B104" s="402" t="s">
        <v>826</v>
      </c>
      <c r="C104" s="270">
        <v>0.4</v>
      </c>
      <c r="D104" s="270">
        <v>300</v>
      </c>
      <c r="E104" s="270">
        <f>D104</f>
        <v>300</v>
      </c>
    </row>
    <row r="106" spans="2:5" x14ac:dyDescent="0.2">
      <c r="B106" s="328" t="s">
        <v>603</v>
      </c>
      <c r="C106" s="327"/>
    </row>
    <row r="107" spans="2:5" x14ac:dyDescent="0.2">
      <c r="B107" s="332" t="s">
        <v>595</v>
      </c>
      <c r="C107" s="329" t="s">
        <v>596</v>
      </c>
    </row>
    <row r="108" spans="2:5" x14ac:dyDescent="0.2">
      <c r="B108" s="333" t="s">
        <v>298</v>
      </c>
      <c r="C108" s="330" t="s">
        <v>55</v>
      </c>
    </row>
    <row r="109" spans="2:5" x14ac:dyDescent="0.2">
      <c r="B109" s="334" t="s">
        <v>597</v>
      </c>
      <c r="C109" s="331">
        <v>449</v>
      </c>
    </row>
    <row r="110" spans="2:5" x14ac:dyDescent="0.2">
      <c r="B110" s="334" t="s">
        <v>598</v>
      </c>
      <c r="C110" s="331">
        <v>66</v>
      </c>
    </row>
    <row r="111" spans="2:5" x14ac:dyDescent="0.2">
      <c r="B111" s="334" t="s">
        <v>599</v>
      </c>
      <c r="C111" s="331">
        <v>237</v>
      </c>
    </row>
    <row r="112" spans="2:5" x14ac:dyDescent="0.2">
      <c r="B112" s="334" t="s">
        <v>600</v>
      </c>
      <c r="C112" s="331">
        <v>222</v>
      </c>
    </row>
    <row r="113" spans="2:5" x14ac:dyDescent="0.2">
      <c r="B113" s="334" t="s">
        <v>601</v>
      </c>
      <c r="C113" s="331">
        <v>102</v>
      </c>
    </row>
    <row r="114" spans="2:5" x14ac:dyDescent="0.2">
      <c r="B114" s="334" t="s">
        <v>602</v>
      </c>
      <c r="C114" s="331">
        <v>329</v>
      </c>
    </row>
    <row r="115" spans="2:5" s="328" customFormat="1" x14ac:dyDescent="0.2"/>
    <row r="116" spans="2:5" s="328" customFormat="1" x14ac:dyDescent="0.2">
      <c r="B116" s="340" t="s">
        <v>609</v>
      </c>
      <c r="C116" s="339"/>
    </row>
    <row r="117" spans="2:5" s="328" customFormat="1" x14ac:dyDescent="0.2">
      <c r="B117" s="344" t="s">
        <v>606</v>
      </c>
      <c r="C117" s="341" t="s">
        <v>607</v>
      </c>
    </row>
    <row r="118" spans="2:5" s="328" customFormat="1" x14ac:dyDescent="0.2">
      <c r="B118" s="345" t="s">
        <v>608</v>
      </c>
      <c r="C118" s="342" t="s">
        <v>55</v>
      </c>
    </row>
    <row r="119" spans="2:5" s="328" customFormat="1" x14ac:dyDescent="0.2">
      <c r="B119" s="346" t="s">
        <v>829</v>
      </c>
      <c r="C119" s="343">
        <v>2.5000000000000001E-3</v>
      </c>
    </row>
    <row r="120" spans="2:5" s="328" customFormat="1" x14ac:dyDescent="0.2">
      <c r="B120" s="346" t="s">
        <v>827</v>
      </c>
      <c r="C120" s="343">
        <v>5.0000000000000001E-4</v>
      </c>
    </row>
    <row r="121" spans="2:5" s="340" customFormat="1" x14ac:dyDescent="0.2">
      <c r="B121" s="346" t="s">
        <v>828</v>
      </c>
      <c r="C121" s="343">
        <v>1E-4</v>
      </c>
    </row>
    <row r="122" spans="2:5" s="328" customFormat="1" x14ac:dyDescent="0.2">
      <c r="B122" s="346" t="s">
        <v>825</v>
      </c>
      <c r="C122" s="343">
        <v>0</v>
      </c>
    </row>
    <row r="124" spans="2:5" x14ac:dyDescent="0.2">
      <c r="B124" s="325" t="s">
        <v>594</v>
      </c>
      <c r="C124" s="177"/>
    </row>
    <row r="125" spans="2:5" x14ac:dyDescent="0.2">
      <c r="B125" s="201"/>
      <c r="C125" s="202" t="s">
        <v>301</v>
      </c>
      <c r="D125" s="202" t="s">
        <v>302</v>
      </c>
      <c r="E125" s="202" t="s">
        <v>303</v>
      </c>
    </row>
    <row r="126" spans="2:5" x14ac:dyDescent="0.2">
      <c r="B126" s="203" t="s">
        <v>298</v>
      </c>
      <c r="C126" s="204" t="s">
        <v>55</v>
      </c>
      <c r="D126" s="204" t="s">
        <v>55</v>
      </c>
      <c r="E126" s="204" t="s">
        <v>55</v>
      </c>
    </row>
    <row r="127" spans="2:5" x14ac:dyDescent="0.2">
      <c r="B127" s="205" t="s">
        <v>299</v>
      </c>
      <c r="C127" s="204">
        <v>66</v>
      </c>
      <c r="D127" s="204">
        <v>289</v>
      </c>
      <c r="E127" s="204">
        <v>0.55000000000000004</v>
      </c>
    </row>
    <row r="128" spans="2:5" x14ac:dyDescent="0.2">
      <c r="B128" s="205" t="s">
        <v>300</v>
      </c>
      <c r="C128" s="204">
        <v>222</v>
      </c>
      <c r="D128" s="204">
        <v>79</v>
      </c>
      <c r="E128" s="204">
        <v>0.55000000000000004</v>
      </c>
    </row>
    <row r="129" spans="2:5" x14ac:dyDescent="0.2">
      <c r="B129" s="205" t="s">
        <v>597</v>
      </c>
      <c r="C129" s="204">
        <v>449</v>
      </c>
      <c r="D129" s="204">
        <v>79</v>
      </c>
      <c r="E129" s="204">
        <v>0.75</v>
      </c>
    </row>
    <row r="131" spans="2:5" x14ac:dyDescent="0.2">
      <c r="B131" s="207" t="s">
        <v>319</v>
      </c>
    </row>
    <row r="132" spans="2:5" x14ac:dyDescent="0.2">
      <c r="B132" s="206" t="s">
        <v>320</v>
      </c>
    </row>
    <row r="133" spans="2:5" x14ac:dyDescent="0.2">
      <c r="B133" s="206" t="s">
        <v>321</v>
      </c>
    </row>
    <row r="135" spans="2:5" x14ac:dyDescent="0.2">
      <c r="B135" s="325" t="s">
        <v>619</v>
      </c>
      <c r="C135" s="242"/>
    </row>
    <row r="136" spans="2:5" x14ac:dyDescent="0.2">
      <c r="B136" s="208"/>
      <c r="C136" s="209" t="s">
        <v>332</v>
      </c>
    </row>
    <row r="137" spans="2:5" x14ac:dyDescent="0.2">
      <c r="B137" s="207" t="s">
        <v>333</v>
      </c>
      <c r="C137" s="85" t="s">
        <v>55</v>
      </c>
    </row>
    <row r="138" spans="2:5" x14ac:dyDescent="0.2">
      <c r="B138" s="206" t="s">
        <v>742</v>
      </c>
      <c r="C138" s="85">
        <v>0.1</v>
      </c>
    </row>
    <row r="139" spans="2:5" x14ac:dyDescent="0.2">
      <c r="B139" s="206" t="s">
        <v>334</v>
      </c>
      <c r="C139" s="85">
        <v>0.7</v>
      </c>
    </row>
    <row r="142" spans="2:5" ht="18" x14ac:dyDescent="0.2">
      <c r="B142" s="13" t="s">
        <v>446</v>
      </c>
      <c r="C142" s="176"/>
      <c r="D142" s="13"/>
      <c r="E142" s="13"/>
    </row>
    <row r="144" spans="2:5" x14ac:dyDescent="0.2">
      <c r="B144" s="324" t="s">
        <v>620</v>
      </c>
    </row>
    <row r="145" spans="2:5" x14ac:dyDescent="0.2">
      <c r="B145" s="14" t="s">
        <v>370</v>
      </c>
      <c r="C145" s="224" t="s">
        <v>371</v>
      </c>
      <c r="D145" s="224" t="s">
        <v>138</v>
      </c>
    </row>
    <row r="146" spans="2:5" x14ac:dyDescent="0.2">
      <c r="B146" s="80" t="s">
        <v>380</v>
      </c>
      <c r="C146" s="225" t="s">
        <v>55</v>
      </c>
      <c r="D146" s="225" t="s">
        <v>55</v>
      </c>
    </row>
    <row r="147" spans="2:5" x14ac:dyDescent="0.2">
      <c r="B147" s="83" t="s">
        <v>398</v>
      </c>
      <c r="C147" s="180">
        <v>1</v>
      </c>
      <c r="D147" s="180">
        <v>300</v>
      </c>
    </row>
    <row r="148" spans="2:5" x14ac:dyDescent="0.2">
      <c r="B148" s="399" t="s">
        <v>729</v>
      </c>
      <c r="C148" s="180">
        <v>0.8</v>
      </c>
      <c r="D148" s="180">
        <v>300</v>
      </c>
    </row>
    <row r="149" spans="2:5" x14ac:dyDescent="0.2">
      <c r="B149" s="83" t="s">
        <v>730</v>
      </c>
      <c r="C149" s="180">
        <v>0.7</v>
      </c>
      <c r="D149" s="180">
        <v>300</v>
      </c>
    </row>
    <row r="150" spans="2:5" x14ac:dyDescent="0.2">
      <c r="B150" s="83" t="s">
        <v>731</v>
      </c>
      <c r="C150" s="180">
        <v>0.6</v>
      </c>
      <c r="D150" s="180">
        <v>300</v>
      </c>
    </row>
    <row r="151" spans="2:5" x14ac:dyDescent="0.2">
      <c r="B151" s="400" t="s">
        <v>727</v>
      </c>
      <c r="C151" s="180">
        <v>0.4</v>
      </c>
      <c r="D151" s="180">
        <v>300</v>
      </c>
    </row>
    <row r="154" spans="2:5" ht="18" x14ac:dyDescent="0.2">
      <c r="B154" s="13" t="s">
        <v>475</v>
      </c>
      <c r="C154" s="176"/>
      <c r="D154" s="13"/>
      <c r="E154" s="13"/>
    </row>
    <row r="155" spans="2:5" x14ac:dyDescent="0.2">
      <c r="B155" s="2"/>
    </row>
    <row r="156" spans="2:5" x14ac:dyDescent="0.2">
      <c r="B156" s="324" t="s">
        <v>621</v>
      </c>
    </row>
    <row r="157" spans="2:5" x14ac:dyDescent="0.2">
      <c r="B157" s="14" t="s">
        <v>370</v>
      </c>
      <c r="C157" s="224" t="s">
        <v>371</v>
      </c>
      <c r="D157" s="224" t="s">
        <v>138</v>
      </c>
      <c r="E157" s="224" t="s">
        <v>431</v>
      </c>
    </row>
    <row r="158" spans="2:5" ht="24" customHeight="1" x14ac:dyDescent="0.2">
      <c r="B158" s="268" t="s">
        <v>481</v>
      </c>
      <c r="C158" s="225" t="s">
        <v>55</v>
      </c>
      <c r="D158" s="225" t="s">
        <v>55</v>
      </c>
      <c r="E158" s="225" t="s">
        <v>55</v>
      </c>
    </row>
    <row r="159" spans="2:5" x14ac:dyDescent="0.2">
      <c r="B159" s="269" t="s">
        <v>476</v>
      </c>
      <c r="C159" s="270">
        <v>1</v>
      </c>
      <c r="D159" s="277" t="s">
        <v>372</v>
      </c>
      <c r="E159" s="270" t="str">
        <f>IF(ISNUMBER('PT6-leather'!TONNAGEregform_formulation),2*C159*'PT6-leather'!TONNAGEregform_formulation,"TONNAGEregform missing")</f>
        <v>TONNAGEregform missing</v>
      </c>
    </row>
    <row r="160" spans="2:5" x14ac:dyDescent="0.2">
      <c r="B160" s="401" t="s">
        <v>746</v>
      </c>
      <c r="C160" s="270">
        <v>0.9</v>
      </c>
      <c r="D160" s="277" t="s">
        <v>373</v>
      </c>
      <c r="E160" s="270" t="str">
        <f>IF(ISNUMBER('PT6-leather'!TONNAGEregform_formulation),C160*'PT6-leather'!TONNAGEregform_formulation,"TONNAGEregform missing")</f>
        <v>TONNAGEregform missing</v>
      </c>
    </row>
    <row r="161" spans="2:5" x14ac:dyDescent="0.2">
      <c r="B161" s="401" t="s">
        <v>747</v>
      </c>
      <c r="C161" s="270">
        <v>0.8</v>
      </c>
      <c r="D161" s="277" t="s">
        <v>477</v>
      </c>
      <c r="E161" s="270" t="str">
        <f>IF(ISNUMBER('PT6-leather'!TONNAGEregform_formulation),0.4*C161*'PT6-leather'!TONNAGEregform_formulation,"TONNAGEregform missing")</f>
        <v>TONNAGEregform missing</v>
      </c>
    </row>
    <row r="162" spans="2:5" x14ac:dyDescent="0.2">
      <c r="B162" s="401" t="s">
        <v>748</v>
      </c>
      <c r="C162" s="270">
        <v>0.75</v>
      </c>
      <c r="D162" s="277" t="s">
        <v>478</v>
      </c>
      <c r="E162" s="270" t="str">
        <f>IF(ISNUMBER('PT6-leather'!TONNAGEregform_formulation),0.2*C162*'PT6-leather'!TONNAGEregform_formulation,"TONNAGEregform missing")</f>
        <v>TONNAGEregform missing</v>
      </c>
    </row>
    <row r="163" spans="2:5" x14ac:dyDescent="0.2">
      <c r="B163" s="402" t="s">
        <v>743</v>
      </c>
      <c r="C163" s="270">
        <v>0.65</v>
      </c>
      <c r="D163" s="270">
        <v>300</v>
      </c>
      <c r="E163" s="270">
        <f t="shared" ref="E163:E165" si="2">D163</f>
        <v>300</v>
      </c>
    </row>
    <row r="164" spans="2:5" x14ac:dyDescent="0.2">
      <c r="B164" s="272" t="s">
        <v>479</v>
      </c>
      <c r="C164" s="226">
        <v>1</v>
      </c>
      <c r="D164" s="226">
        <v>300</v>
      </c>
      <c r="E164" s="226">
        <f t="shared" si="2"/>
        <v>300</v>
      </c>
    </row>
    <row r="165" spans="2:5" x14ac:dyDescent="0.2">
      <c r="B165" s="403" t="s">
        <v>749</v>
      </c>
      <c r="C165" s="226">
        <v>0.7</v>
      </c>
      <c r="D165" s="226">
        <v>300</v>
      </c>
      <c r="E165" s="226">
        <f t="shared" si="2"/>
        <v>300</v>
      </c>
    </row>
    <row r="166" spans="2:5" x14ac:dyDescent="0.2">
      <c r="B166" s="404" t="s">
        <v>744</v>
      </c>
      <c r="C166" s="226">
        <v>0.4</v>
      </c>
      <c r="D166" s="226">
        <v>300</v>
      </c>
      <c r="E166" s="226">
        <f>D166</f>
        <v>300</v>
      </c>
    </row>
    <row r="167" spans="2:5" x14ac:dyDescent="0.2">
      <c r="B167" s="269" t="s">
        <v>480</v>
      </c>
      <c r="C167" s="270">
        <v>1</v>
      </c>
      <c r="D167" s="270">
        <v>300</v>
      </c>
      <c r="E167" s="270">
        <f>D167</f>
        <v>300</v>
      </c>
    </row>
    <row r="168" spans="2:5" x14ac:dyDescent="0.2">
      <c r="B168" s="269" t="s">
        <v>750</v>
      </c>
      <c r="C168" s="270">
        <v>0.8</v>
      </c>
      <c r="D168" s="270">
        <v>300</v>
      </c>
      <c r="E168" s="270">
        <f t="shared" ref="E168:E171" si="3">D168</f>
        <v>300</v>
      </c>
    </row>
    <row r="169" spans="2:5" x14ac:dyDescent="0.2">
      <c r="B169" s="269" t="s">
        <v>751</v>
      </c>
      <c r="C169" s="270">
        <v>0.7</v>
      </c>
      <c r="D169" s="270">
        <v>300</v>
      </c>
      <c r="E169" s="270">
        <f t="shared" si="3"/>
        <v>300</v>
      </c>
    </row>
    <row r="170" spans="2:5" x14ac:dyDescent="0.2">
      <c r="B170" s="269" t="s">
        <v>752</v>
      </c>
      <c r="C170" s="270">
        <v>0.6</v>
      </c>
      <c r="D170" s="270">
        <v>300</v>
      </c>
      <c r="E170" s="270">
        <f t="shared" si="3"/>
        <v>300</v>
      </c>
    </row>
    <row r="171" spans="2:5" x14ac:dyDescent="0.2">
      <c r="B171" s="402" t="s">
        <v>745</v>
      </c>
      <c r="C171" s="270">
        <v>0.4</v>
      </c>
      <c r="D171" s="270">
        <v>300</v>
      </c>
      <c r="E171" s="270">
        <f t="shared" si="3"/>
        <v>300</v>
      </c>
    </row>
    <row r="173" spans="2:5" x14ac:dyDescent="0.2">
      <c r="B173" s="326" t="s">
        <v>622</v>
      </c>
    </row>
    <row r="174" spans="2:5" x14ac:dyDescent="0.2">
      <c r="B174" s="14" t="s">
        <v>370</v>
      </c>
      <c r="C174" s="224" t="s">
        <v>371</v>
      </c>
      <c r="D174" s="224" t="s">
        <v>138</v>
      </c>
      <c r="E174" s="224" t="s">
        <v>431</v>
      </c>
    </row>
    <row r="175" spans="2:5" x14ac:dyDescent="0.2">
      <c r="B175" s="80" t="s">
        <v>380</v>
      </c>
      <c r="C175" s="180" t="s">
        <v>55</v>
      </c>
      <c r="D175" s="180" t="s">
        <v>55</v>
      </c>
      <c r="E175" s="180" t="s">
        <v>55</v>
      </c>
    </row>
    <row r="176" spans="2:5" x14ac:dyDescent="0.2">
      <c r="B176" s="83" t="s">
        <v>500</v>
      </c>
      <c r="C176" s="180">
        <v>0.8</v>
      </c>
      <c r="D176" s="180" t="s">
        <v>372</v>
      </c>
      <c r="E176" s="180" t="str">
        <f>IF(ISNUMBER('PT6-leather'!TONNAGEregform_application),2*C176*'PT6-leather'!TONNAGEregform_application,"TONNAGEregform missing")</f>
        <v>TONNAGEregform missing</v>
      </c>
    </row>
    <row r="177" spans="2:5" x14ac:dyDescent="0.2">
      <c r="B177" s="223" t="s">
        <v>753</v>
      </c>
      <c r="C177" s="180">
        <v>0.75</v>
      </c>
      <c r="D177" s="180" t="s">
        <v>372</v>
      </c>
      <c r="E177" s="180" t="str">
        <f>IF(ISNUMBER('PT6-leather'!TONNAGEregform_application),2*C177*'PT6-leather'!TONNAGEregform_application,"TONNAGEregform missing")</f>
        <v>TONNAGEregform missing</v>
      </c>
    </row>
    <row r="178" spans="2:5" x14ac:dyDescent="0.2">
      <c r="B178" s="81" t="s">
        <v>754</v>
      </c>
      <c r="C178" s="180">
        <v>0.6</v>
      </c>
      <c r="D178" s="180" t="s">
        <v>373</v>
      </c>
      <c r="E178" s="180" t="str">
        <f>IF(ISNUMBER('PT6-leather'!TONNAGEregform_application),C178*'PT6-leather'!TONNAGEregform_application,"TONNAGEregform missing")</f>
        <v>TONNAGEregform missing</v>
      </c>
    </row>
    <row r="179" spans="2:5" x14ac:dyDescent="0.2">
      <c r="B179" s="223" t="s">
        <v>755</v>
      </c>
      <c r="C179" s="180">
        <v>0.5</v>
      </c>
      <c r="D179" s="180" t="s">
        <v>477</v>
      </c>
      <c r="E179" s="180" t="str">
        <f>IF(ISNUMBER('PT6-leather'!TONNAGEregform_application),0.4*C179*'PT6-leather'!TONNAGEregform_application,"TONNAGEregform missing")</f>
        <v>TONNAGEregform missing</v>
      </c>
    </row>
    <row r="180" spans="2:5" x14ac:dyDescent="0.2">
      <c r="B180" s="81" t="s">
        <v>756</v>
      </c>
      <c r="C180" s="180">
        <v>0.35</v>
      </c>
      <c r="D180" s="180">
        <v>300</v>
      </c>
      <c r="E180" s="180">
        <v>300</v>
      </c>
    </row>
    <row r="181" spans="2:5" x14ac:dyDescent="0.2">
      <c r="B181" s="81" t="s">
        <v>757</v>
      </c>
      <c r="C181" s="180">
        <v>0.2</v>
      </c>
      <c r="D181" s="180">
        <v>300</v>
      </c>
      <c r="E181" s="180">
        <v>300</v>
      </c>
    </row>
    <row r="182" spans="2:5" x14ac:dyDescent="0.2">
      <c r="B182" s="400" t="s">
        <v>758</v>
      </c>
      <c r="C182" s="180">
        <v>0.1</v>
      </c>
      <c r="D182" s="180">
        <v>300</v>
      </c>
      <c r="E182" s="180">
        <v>300</v>
      </c>
    </row>
    <row r="184" spans="2:5" x14ac:dyDescent="0.2">
      <c r="B184" s="326" t="s">
        <v>623</v>
      </c>
    </row>
    <row r="185" spans="2:5" x14ac:dyDescent="0.2">
      <c r="B185" s="14" t="s">
        <v>501</v>
      </c>
      <c r="C185" s="219" t="s">
        <v>502</v>
      </c>
    </row>
    <row r="186" spans="2:5" x14ac:dyDescent="0.2">
      <c r="B186" s="80" t="s">
        <v>504</v>
      </c>
      <c r="C186" s="85" t="s">
        <v>55</v>
      </c>
    </row>
    <row r="187" spans="2:5" x14ac:dyDescent="0.2">
      <c r="B187" s="83" t="s">
        <v>505</v>
      </c>
      <c r="C187" s="85">
        <v>0.9</v>
      </c>
    </row>
    <row r="188" spans="2:5" x14ac:dyDescent="0.2">
      <c r="B188" s="400" t="s">
        <v>741</v>
      </c>
      <c r="C188" s="85">
        <v>0.99</v>
      </c>
    </row>
    <row r="190" spans="2:5" x14ac:dyDescent="0.2">
      <c r="B190" s="326" t="s">
        <v>624</v>
      </c>
    </row>
    <row r="191" spans="2:5" x14ac:dyDescent="0.2">
      <c r="B191" s="14" t="s">
        <v>517</v>
      </c>
    </row>
    <row r="192" spans="2:5" x14ac:dyDescent="0.2">
      <c r="B192" s="80" t="s">
        <v>486</v>
      </c>
    </row>
    <row r="193" spans="2:5" x14ac:dyDescent="0.2">
      <c r="B193" s="83" t="s">
        <v>513</v>
      </c>
    </row>
    <row r="194" spans="2:5" x14ac:dyDescent="0.2">
      <c r="B194" s="206" t="s">
        <v>514</v>
      </c>
    </row>
    <row r="195" spans="2:5" x14ac:dyDescent="0.2">
      <c r="B195" s="206" t="s">
        <v>515</v>
      </c>
    </row>
    <row r="196" spans="2:5" x14ac:dyDescent="0.2">
      <c r="B196" s="206" t="s">
        <v>516</v>
      </c>
    </row>
    <row r="198" spans="2:5" x14ac:dyDescent="0.2">
      <c r="B198" s="305" t="s">
        <v>518</v>
      </c>
      <c r="C198" s="306" t="s">
        <v>523</v>
      </c>
    </row>
    <row r="199" spans="2:5" x14ac:dyDescent="0.2">
      <c r="B199" s="307" t="s">
        <v>534</v>
      </c>
      <c r="C199" s="308" t="s">
        <v>55</v>
      </c>
    </row>
    <row r="200" spans="2:5" x14ac:dyDescent="0.2">
      <c r="B200" s="309" t="s">
        <v>519</v>
      </c>
      <c r="C200" s="310">
        <v>1</v>
      </c>
    </row>
    <row r="201" spans="2:5" x14ac:dyDescent="0.2">
      <c r="B201" s="309" t="s">
        <v>522</v>
      </c>
      <c r="C201" s="310">
        <v>0.5</v>
      </c>
    </row>
    <row r="202" spans="2:5" x14ac:dyDescent="0.2">
      <c r="B202" s="309" t="s">
        <v>520</v>
      </c>
      <c r="C202" s="310">
        <v>0.35</v>
      </c>
    </row>
    <row r="203" spans="2:5" x14ac:dyDescent="0.2">
      <c r="B203" s="309" t="s">
        <v>521</v>
      </c>
      <c r="C203" s="310">
        <v>0.2</v>
      </c>
    </row>
    <row r="206" spans="2:5" ht="18" x14ac:dyDescent="0.2">
      <c r="B206" s="13" t="s">
        <v>539</v>
      </c>
      <c r="C206" s="176"/>
      <c r="D206" s="13"/>
      <c r="E206" s="13"/>
    </row>
    <row r="207" spans="2:5" x14ac:dyDescent="0.2">
      <c r="B207" s="2"/>
    </row>
    <row r="208" spans="2:5" x14ac:dyDescent="0.2">
      <c r="B208" s="324" t="s">
        <v>628</v>
      </c>
    </row>
    <row r="209" spans="2:5" x14ac:dyDescent="0.2">
      <c r="B209" s="14" t="s">
        <v>370</v>
      </c>
      <c r="C209" s="224" t="s">
        <v>371</v>
      </c>
      <c r="D209" s="224" t="s">
        <v>138</v>
      </c>
      <c r="E209" s="224" t="s">
        <v>431</v>
      </c>
    </row>
    <row r="210" spans="2:5" ht="24" customHeight="1" x14ac:dyDescent="0.2">
      <c r="B210" s="268" t="s">
        <v>540</v>
      </c>
      <c r="C210" s="225" t="s">
        <v>55</v>
      </c>
      <c r="D210" s="225" t="s">
        <v>55</v>
      </c>
      <c r="E210" s="225" t="s">
        <v>55</v>
      </c>
    </row>
    <row r="211" spans="2:5" x14ac:dyDescent="0.2">
      <c r="B211" s="269" t="s">
        <v>705</v>
      </c>
      <c r="C211" s="270">
        <v>1</v>
      </c>
      <c r="D211" s="270">
        <v>300</v>
      </c>
      <c r="E211" s="270">
        <f>D211</f>
        <v>300</v>
      </c>
    </row>
    <row r="212" spans="2:5" x14ac:dyDescent="0.2">
      <c r="B212" s="271" t="s">
        <v>759</v>
      </c>
      <c r="C212" s="270">
        <v>0.7</v>
      </c>
      <c r="D212" s="270">
        <v>300</v>
      </c>
      <c r="E212" s="270">
        <f t="shared" ref="E212:E215" si="4">D212</f>
        <v>300</v>
      </c>
    </row>
    <row r="213" spans="2:5" x14ac:dyDescent="0.2">
      <c r="B213" s="402" t="s">
        <v>760</v>
      </c>
      <c r="C213" s="270">
        <v>0.4</v>
      </c>
      <c r="D213" s="270">
        <v>300</v>
      </c>
      <c r="E213" s="270">
        <f t="shared" si="4"/>
        <v>300</v>
      </c>
    </row>
    <row r="214" spans="2:5" x14ac:dyDescent="0.2">
      <c r="B214" s="272" t="s">
        <v>541</v>
      </c>
      <c r="C214" s="226">
        <v>1</v>
      </c>
      <c r="D214" s="226">
        <v>100</v>
      </c>
      <c r="E214" s="226">
        <f t="shared" si="4"/>
        <v>100</v>
      </c>
    </row>
    <row r="215" spans="2:5" x14ac:dyDescent="0.2">
      <c r="B215" s="273" t="s">
        <v>761</v>
      </c>
      <c r="C215" s="226">
        <v>0.8</v>
      </c>
      <c r="D215" s="226">
        <v>200</v>
      </c>
      <c r="E215" s="226">
        <f t="shared" si="4"/>
        <v>200</v>
      </c>
    </row>
    <row r="216" spans="2:5" x14ac:dyDescent="0.2">
      <c r="B216" s="404" t="s">
        <v>762</v>
      </c>
      <c r="C216" s="226">
        <v>0.6</v>
      </c>
      <c r="D216" s="226">
        <v>300</v>
      </c>
      <c r="E216" s="226">
        <f>D216</f>
        <v>300</v>
      </c>
    </row>
    <row r="217" spans="2:5" x14ac:dyDescent="0.2">
      <c r="B217" s="269" t="s">
        <v>542</v>
      </c>
      <c r="C217" s="270">
        <v>1</v>
      </c>
      <c r="D217" s="270">
        <v>20</v>
      </c>
      <c r="E217" s="270">
        <f>D217</f>
        <v>20</v>
      </c>
    </row>
    <row r="218" spans="2:5" x14ac:dyDescent="0.2">
      <c r="B218" s="266" t="s">
        <v>763</v>
      </c>
      <c r="C218" s="270">
        <v>1</v>
      </c>
      <c r="D218" s="270">
        <v>60</v>
      </c>
      <c r="E218" s="270">
        <f>D218</f>
        <v>60</v>
      </c>
    </row>
    <row r="219" spans="2:5" x14ac:dyDescent="0.2">
      <c r="B219" s="266" t="s">
        <v>764</v>
      </c>
      <c r="C219" s="270">
        <v>1</v>
      </c>
      <c r="D219" s="270" t="s">
        <v>372</v>
      </c>
      <c r="E219" s="270" t="str">
        <f>IF(ISNUMBER('PT6-fuels'!TONNAGEregform_formulation),2*C219*'PT6-fuels'!TONNAGEregform_formulation,"TONNAGEregform missing")</f>
        <v>TONNAGEregform missing</v>
      </c>
    </row>
    <row r="220" spans="2:5" x14ac:dyDescent="0.2">
      <c r="B220" s="266" t="s">
        <v>765</v>
      </c>
      <c r="C220" s="270">
        <v>0.8</v>
      </c>
      <c r="D220" s="270" t="s">
        <v>373</v>
      </c>
      <c r="E220" s="270" t="str">
        <f>IF(ISNUMBER('PT6-fuels'!TONNAGEregform_formulation),C220*'PT6-fuels'!TONNAGEregform_formulation,"TONNAGEregform missing")</f>
        <v>TONNAGEregform missing</v>
      </c>
    </row>
    <row r="221" spans="2:5" x14ac:dyDescent="0.2">
      <c r="B221" s="266" t="s">
        <v>766</v>
      </c>
      <c r="C221" s="270">
        <v>0.6</v>
      </c>
      <c r="D221" s="270" t="s">
        <v>374</v>
      </c>
      <c r="E221" s="270" t="str">
        <f>IF(ISNUMBER('PT6-fuels'!TONNAGEregform_formulation),0.5*C221*'PT6-fuels'!TONNAGEregform_formulation,"TONNAGEregform missing")</f>
        <v>TONNAGEregform missing</v>
      </c>
    </row>
    <row r="222" spans="2:5" x14ac:dyDescent="0.2">
      <c r="B222" s="402" t="s">
        <v>767</v>
      </c>
      <c r="C222" s="270">
        <v>0.4</v>
      </c>
      <c r="D222" s="270">
        <v>300</v>
      </c>
      <c r="E222" s="270">
        <f>D222</f>
        <v>300</v>
      </c>
    </row>
  </sheetData>
  <sheetProtection algorithmName="SHA-512" hashValue="GSNQtllwcnYobi+zFcfcDqOSJZCVmL0bDOtHxTA67QzCzGeTsNSetGpsq3h3K08MA/hA4SKMBQbb7xFl0X2yvw==" saltValue="jTrz97lF8jPXVmd0vlq/Xw==" spinCount="100000" sheet="1" objects="1" scenarios="1" formatCells="0" formatColumns="0" formatRows="0"/>
  <dataConsolidate/>
  <dataValidations count="4">
    <dataValidation type="list" allowBlank="1" showDropDown="1" showInputMessage="1" showErrorMessage="1" sqref="B58:B62">
      <formula1>Consumption</formula1>
    </dataValidation>
    <dataValidation type="list" allowBlank="1" showDropDown="1" showInputMessage="1" showErrorMessage="1" sqref="B52:B54">
      <formula1>ProductForm</formula1>
    </dataValidation>
    <dataValidation type="list" allowBlank="1" showDropDown="1" showInputMessage="1" showErrorMessage="1" sqref="B79:B81 B126:B129">
      <formula1>ActiveIngredient</formula1>
    </dataValidation>
    <dataValidation allowBlank="1" showDropDown="1" showInputMessage="1" showErrorMessage="1" sqref="B50 B42:B43 B46:B48 B34:B37 B72:B74 B91:B93 B96:B99 B102:B103 B86 B148:B150 B155 B160:B162 B168:B170 B165 B177:B181 B207 B212 B215 B218:B221"/>
  </dataValidations>
  <pageMargins left="0.7" right="0.7" top="0.75" bottom="0.75" header="0.3" footer="0.3"/>
  <pageSetup paperSize="9" orientation="portrait" horizontalDpi="4294967292" verticalDpi="4294967292"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Confidentiality xmlns="735cbd8a-ef91-4d32-baee-5f03e5fb30bf">Non Confidential</Confidentiality>
    <ECHADocumentTypeTaxHTField0 xmlns="5be2862c-9c7a-466a-8f6d-c278e82738e2">
      <Terms xmlns="http://schemas.microsoft.com/office/infopath/2007/PartnerControls"/>
    </ECHADocumentTypeTaxHTField0>
    <ECHASecClassTaxHTField0 xmlns="5be2862c-9c7a-466a-8f6d-c278e82738e2">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a0307bc2-faf9-4068-8aeb-b713e4fa2a0f</TermId>
        </TermInfo>
      </Terms>
    </ECHASecClassTaxHTField0>
    <ECHACategoryTaxHTField0 xmlns="5be2862c-9c7a-466a-8f6d-c278e82738e2">
      <Terms xmlns="http://schemas.microsoft.com/office/infopath/2007/PartnerControls"/>
    </ECHACategoryTaxHTField0>
    <TaxCatchAll xmlns="d80dd6ab-43bf-4d9d-bb1e-742532452846">
      <Value>1</Value>
      <Value>9</Value>
    </TaxCatchAll>
    <ECHAProcessTaxHTField0 xmlns="5be2862c-9c7a-466a-8f6d-c278e82738e2">
      <Terms xmlns="http://schemas.microsoft.com/office/infopath/2007/PartnerControls">
        <TermInfo xmlns="http://schemas.microsoft.com/office/infopath/2007/PartnerControls">
          <TermName xmlns="http://schemas.microsoft.com/office/infopath/2007/PartnerControls">16.00 Activity management and development</TermName>
          <TermId xmlns="http://schemas.microsoft.com/office/infopath/2007/PartnerControls">e303f835-0e5c-4fee-8486-ae6996d815ae</TermId>
        </TermInfo>
      </Terms>
    </ECHAProcessTaxHTField0>
    <_dlc_DocId xmlns="5bcca709-0b09-4b74-bfa0-2137a84c1763">ACTV16-17-50698</_dlc_DocId>
    <_dlc_DocIdUrl xmlns="5bcca709-0b09-4b74-bfa0-2137a84c1763">
      <Url>https://activity.echa.europa.eu/sites/act-16/process-16-0/_layouts/15/DocIdRedir.aspx?ID=ACTV16-17-50698</Url>
      <Description>ACTV16-17-50698</Description>
    </_dlc_DocIdUrl>
    <IsRecord xmlns="735cbd8a-ef91-4d32-baee-5f03e5fb30bf">No</IsRecord>
    <IconOverlay xmlns="http://schemas.microsoft.com/sharepoint/v4" xsi:nil="true"/>
  </documentManagement>
</p:properties>
</file>

<file path=customXml/item2.xml><?xml version="1.0" encoding="utf-8"?>
<?mso-contentType ?>
<SharedContentType xmlns="Microsoft.SharePoint.Taxonomy.ContentTypeSync" SourceId="5f69e26b-beb5-49c8-89f9-b5a0fae19f51" ContentTypeId="0x010100B558917389A54ADDB58930FBD7E6FD57008586DED9191B4C4CBD31A5DF7F304A71"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ECHA Process Document" ma:contentTypeID="0x010100B558917389A54ADDB58930FBD7E6FD57008586DED9191B4C4CBD31A5DF7F304A7100FFDF787D330BE64A9729A05E65AC29AD" ma:contentTypeVersion="19" ma:contentTypeDescription="Content type for ECHA process documents" ma:contentTypeScope="" ma:versionID="2f011f6ff97c19789b68eecb87707d4b">
  <xsd:schema xmlns:xsd="http://www.w3.org/2001/XMLSchema" xmlns:xs="http://www.w3.org/2001/XMLSchema" xmlns:p="http://schemas.microsoft.com/office/2006/metadata/properties" xmlns:ns2="5be2862c-9c7a-466a-8f6d-c278e82738e2" xmlns:ns3="5bcca709-0b09-4b74-bfa0-2137a84c1763" xmlns:ns4="d80dd6ab-43bf-4d9d-bb1e-742532452846" xmlns:ns5="b80ede5c-af4c-4bf2-9a87-706a3579dc11" xmlns:ns6="735cbd8a-ef91-4d32-baee-5f03e5fb30bf" xmlns:ns7="http://schemas.microsoft.com/sharepoint/v4" xmlns:ns8="8919639d-03a3-4573-a832-1e3bee8480f0" targetNamespace="http://schemas.microsoft.com/office/2006/metadata/properties" ma:root="true" ma:fieldsID="ae9367debf30323549f6d8290853cbf7" ns2:_="" ns3:_="" ns4:_="" ns5:_="" ns6:_="" ns7:_="" ns8:_="">
    <xsd:import namespace="5be2862c-9c7a-466a-8f6d-c278e82738e2"/>
    <xsd:import namespace="5bcca709-0b09-4b74-bfa0-2137a84c1763"/>
    <xsd:import namespace="d80dd6ab-43bf-4d9d-bb1e-742532452846"/>
    <xsd:import namespace="b80ede5c-af4c-4bf2-9a87-706a3579dc11"/>
    <xsd:import namespace="735cbd8a-ef91-4d32-baee-5f03e5fb30bf"/>
    <xsd:import namespace="http://schemas.microsoft.com/sharepoint/v4"/>
    <xsd:import namespace="8919639d-03a3-4573-a832-1e3bee8480f0"/>
    <xsd:element name="properties">
      <xsd:complexType>
        <xsd:sequence>
          <xsd:element name="documentManagement">
            <xsd:complexType>
              <xsd:all>
                <xsd:element ref="ns3:_dlc_DocId" minOccurs="0"/>
                <xsd:element ref="ns3:_dlc_DocIdUrl" minOccurs="0"/>
                <xsd:element ref="ns3:_dlc_DocIdPersistId" minOccurs="0"/>
                <xsd:element ref="ns2:ECHADocumentTypeTaxHTField0" minOccurs="0"/>
                <xsd:element ref="ns4:TaxCatchAll" minOccurs="0"/>
                <xsd:element ref="ns5:TaxCatchAllLabel" minOccurs="0"/>
                <xsd:element ref="ns2:ECHASecClassTaxHTField0" minOccurs="0"/>
                <xsd:element ref="ns2:ECHAProcessTaxHTField0" minOccurs="0"/>
                <xsd:element ref="ns2:ECHACategoryTaxHTField0" minOccurs="0"/>
                <xsd:element ref="ns6:Confidentiality"/>
                <xsd:element ref="ns6:IsRecord" minOccurs="0"/>
                <xsd:element ref="ns7:IconOverlay" minOccurs="0"/>
                <xsd:element ref="ns8: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e2862c-9c7a-466a-8f6d-c278e82738e2" elementFormDefault="qualified">
    <xsd:import namespace="http://schemas.microsoft.com/office/2006/documentManagement/types"/>
    <xsd:import namespace="http://schemas.microsoft.com/office/infopath/2007/PartnerControls"/>
    <xsd:element name="ECHADocumentTypeTaxHTField0" ma:index="11" nillable="true" ma:taxonomy="true" ma:internalName="gd32339cd0b5409a9fdb05f9583968bc" ma:taxonomyFieldName="ECHADocumentType" ma:displayName="Document type" ma:readOnly="false" ma:fieldId="{0d32339c-d0b5-409a-9fdb-05f9583968bc}" ma:sspId="5f69e26b-beb5-49c8-89f9-b5a0fae19f51" ma:termSetId="aedf82a2-407f-4791-945d-c1f392314e39" ma:anchorId="00000000-0000-0000-0000-000000000000" ma:open="false" ma:isKeyword="false">
      <xsd:complexType>
        <xsd:sequence>
          <xsd:element ref="pc:Terms" minOccurs="0" maxOccurs="1"/>
        </xsd:sequence>
      </xsd:complexType>
    </xsd:element>
    <xsd:element name="ECHASecClassTaxHTField0" ma:index="15" ma:taxonomy="true" ma:internalName="ab0eb6f132fb4a769815f72efb98c81d" ma:taxonomyFieldName="ECHASecClass" ma:displayName="Security classification" ma:default="1;#|a0307bc2-faf9-4068-8aeb-b713e4fa2a0f" ma:fieldId="{ab0eb6f1-32fb-4a76-9815-f72efb98c81d}" ma:sspId="5f69e26b-beb5-49c8-89f9-b5a0fae19f51" ma:termSetId="bdbfee88-fbc0-4b29-a996-994f751932c4" ma:anchorId="00000000-0000-0000-0000-000000000000" ma:open="false" ma:isKeyword="false">
      <xsd:complexType>
        <xsd:sequence>
          <xsd:element ref="pc:Terms" minOccurs="0" maxOccurs="1"/>
        </xsd:sequence>
      </xsd:complexType>
    </xsd:element>
    <xsd:element name="ECHAProcessTaxHTField0" ma:index="17" nillable="true" ma:taxonomy="true" ma:internalName="k79ecea8bd3e48279038bf7156c8359b" ma:taxonomyFieldName="ECHAProcess" ma:displayName="Process" ma:readOnly="false" ma:fieldId="{479ecea8-bd3e-4827-9038-bf7156c8359b}" ma:sspId="5f69e26b-beb5-49c8-89f9-b5a0fae19f51" ma:termSetId="c30def1a-2ee0-45a9-b531-f691ecbc3c44" ma:anchorId="00000000-0000-0000-0000-000000000000" ma:open="false" ma:isKeyword="false">
      <xsd:complexType>
        <xsd:sequence>
          <xsd:element ref="pc:Terms" minOccurs="0" maxOccurs="1"/>
        </xsd:sequence>
      </xsd:complexType>
    </xsd:element>
    <xsd:element name="ECHACategoryTaxHTField0" ma:index="19" nillable="true" ma:taxonomy="true" ma:internalName="p86653fd247d4255942aa31697ef2e78" ma:taxonomyFieldName="ECHACategory" ma:displayName="Category" ma:readOnly="false" ma:default="" ma:fieldId="{986653fd-247d-4255-942a-a31697ef2e78}" ma:sspId="5f69e26b-beb5-49c8-89f9-b5a0fae19f51" ma:termSetId="55e7dc03-f0a2-4416-8b3b-39dffa2b388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ca709-0b09-4b74-bfa0-2137a84c176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80dd6ab-43bf-4d9d-bb1e-742532452846"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214db2d2-f1ed-4c58-8539-ffd4e5068399}" ma:internalName="TaxCatchAll" ma:showField="CatchAllData" ma:web="d80dd6ab-43bf-4d9d-bb1e-74253245284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80ede5c-af4c-4bf2-9a87-706a3579dc11" elementFormDefault="qualified">
    <xsd:import namespace="http://schemas.microsoft.com/office/2006/documentManagement/types"/>
    <xsd:import namespace="http://schemas.microsoft.com/office/infopath/2007/PartnerControls"/>
    <xsd:element name="TaxCatchAllLabel" ma:index="13" nillable="true" ma:displayName="Taxonomy Catch All Column1" ma:description="" ma:hidden="true" ma:list="{8da9f775-fdf3-4d14-99ae-8f8e0cbfc351}" ma:internalName="TaxCatchAllLabel" ma:readOnly="true" ma:showField="CatchAllDataLabel" ma:web="a3c34eed-3ef9-4750-993f-44a2ccbf163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35cbd8a-ef91-4d32-baee-5f03e5fb30bf" elementFormDefault="qualified">
    <xsd:import namespace="http://schemas.microsoft.com/office/2006/documentManagement/types"/>
    <xsd:import namespace="http://schemas.microsoft.com/office/infopath/2007/PartnerControls"/>
    <xsd:element name="Confidentiality" ma:index="22" ma:displayName="Confidentiality" ma:default="Non Confidential" ma:format="Dropdown" ma:internalName="Confidentiality">
      <xsd:simpleType>
        <xsd:restriction base="dms:Choice">
          <xsd:enumeration value="Confidential"/>
          <xsd:enumeration value="Non Confidential"/>
        </xsd:restriction>
      </xsd:simpleType>
    </xsd:element>
    <xsd:element name="IsRecord" ma:index="23" nillable="true" ma:displayName="IsRecord" ma:default="No" ma:format="RadioButtons" ma:internalName="IsRecord">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19639d-03a3-4573-a832-1e3bee8480f0" elementFormDefault="qualified">
    <xsd:import namespace="http://schemas.microsoft.com/office/2006/documentManagement/types"/>
    <xsd:import namespace="http://schemas.microsoft.com/office/infopath/2007/PartnerControls"/>
    <xsd:element name="SharedWithUsers" ma:index="2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E1CFF7-3811-4B00-85F4-0D62518EAA52}"/>
</file>

<file path=customXml/itemProps2.xml><?xml version="1.0" encoding="utf-8"?>
<ds:datastoreItem xmlns:ds="http://schemas.openxmlformats.org/officeDocument/2006/customXml" ds:itemID="{4B18AF0F-A592-471C-9808-7E5EBFA2CF91}"/>
</file>

<file path=customXml/itemProps3.xml><?xml version="1.0" encoding="utf-8"?>
<ds:datastoreItem xmlns:ds="http://schemas.openxmlformats.org/officeDocument/2006/customXml" ds:itemID="{248557FC-F572-4299-8474-14E99191E3A5}"/>
</file>

<file path=customXml/itemProps4.xml><?xml version="1.0" encoding="utf-8"?>
<ds:datastoreItem xmlns:ds="http://schemas.openxmlformats.org/officeDocument/2006/customXml" ds:itemID="{DC8F4218-5278-4452-A0B7-C1B81703178A}"/>
</file>

<file path=customXml/itemProps5.xml><?xml version="1.0" encoding="utf-8"?>
<ds:datastoreItem xmlns:ds="http://schemas.openxmlformats.org/officeDocument/2006/customXml" ds:itemID="{E45E65C5-6D1D-4740-8CA9-689F29F464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324</vt:i4>
      </vt:variant>
    </vt:vector>
  </HeadingPairs>
  <TitlesOfParts>
    <vt:vector size="333" baseType="lpstr">
      <vt:lpstr>Introduction</vt:lpstr>
      <vt:lpstr>Index</vt:lpstr>
      <vt:lpstr>PT6-detergents &amp; clean. fluids</vt:lpstr>
      <vt:lpstr>PT6-paints&amp;coatings</vt:lpstr>
      <vt:lpstr>PT6-paper</vt:lpstr>
      <vt:lpstr>PT6-textile</vt:lpstr>
      <vt:lpstr>PT6-leather</vt:lpstr>
      <vt:lpstr>PT6-fuels</vt:lpstr>
      <vt:lpstr>Pick-lists &amp; Defaults</vt:lpstr>
      <vt:lpstr>'PT6-paints&amp;coatings'!_1._Emission_scenario_for_calculating_the_direct_releases_to_soil_during_service_life_from_a_façade__ESD_Table_20__p.47____House_scenario__direct_emission_to_soil</vt:lpstr>
      <vt:lpstr>'PT6-paper'!_1._Emission_scenario_for_calculating_the_release_from_drying_sections_after_size_pressing_and_coating__ESD_Table_23__p.52</vt:lpstr>
      <vt:lpstr>'PT6-paints&amp;coatings'!_1._Emission_scenario_for_calculating_the_releases_from_a_façade_treated_by_sprayer__ESD_Table_17__p.43</vt:lpstr>
      <vt:lpstr>'PT6-detergents &amp; clean. fluids'!_1._Preservation_of_human_hygienic_products__use_area__soaps__shampoos_…</vt:lpstr>
      <vt:lpstr>'PT6-paper'!_2._Emission_scenario_for_calculating_the_release_from__broke___ESD_Table_24__p.53</vt:lpstr>
      <vt:lpstr>'PT6-paints&amp;coatings'!_2._Emission_scenario_for_calculating_the_releases_during_service_life_from_a_bridge__ESD_Table_21__p.47____Bridge_over_pond_scenario__direct_emission_to_surface_water</vt:lpstr>
      <vt:lpstr>'PT6-paints&amp;coatings'!_2._Emission_scenario_for_calculating_the_releases_from_a_façade_treated_with_roller_or_brush__ESD_Table_18__p.44</vt:lpstr>
      <vt:lpstr>'PT6-detergents &amp; clean. fluids'!_2._Preservation_of_washing_and_cleaning_fluids_for_professional_use__use_area__detergents_used_in_industry_for_large_surfaces__in_large_scale_laundry_…</vt:lpstr>
      <vt:lpstr>'PT6-detergents &amp; clean. fluids'!_2.1_Emission_scenario_for_calculating_the_release_of_preservatives_applied_in_professional_detergents_used_for_laundry_from_hospitals_in_washing_streets__ESD_Table_9__p.33</vt:lpstr>
      <vt:lpstr>'PT6-detergents &amp; clean. fluids'!_2.2_Emission_scenario_for_calculating_the_release_of_preservatives_used_in_professional_detergents_for_surface_cleaning_in_industrial_areas__ESD_Table_10__p.34</vt:lpstr>
      <vt:lpstr>'PT6-detergents &amp; clean. fluids'!_3._Preservation_of_washing_and_cleaning_fluids_for_non_professional_use__use_area__detergents_for_dish_washing__fabric_washing__surface_cleaning_…</vt:lpstr>
      <vt:lpstr>'PT6-detergents &amp; clean. fluids'!_3.1_Emission_scenario_for_calculating_the_release_of_preservatives_used_in_non_professional_detergents_for_fabric_washing__ESD_Table_11__p.34</vt:lpstr>
      <vt:lpstr>'PT6-detergents &amp; clean. fluids'!_3.2_Emission_scenario_for_calculating_the_release_of_preservatives_used_in_non_professional_detergents_for_dish_washing__ESD_Table_12__p.35</vt:lpstr>
      <vt:lpstr>'PT6-detergents &amp; clean. fluids'!_3.3_Emission_scenario_for_calculating_the_release_of_preservatives_used_in_detergents_for_sanitary_purposes_based_on_average_consumption__Table_13__p.xx</vt:lpstr>
      <vt:lpstr>'PT6-detergents &amp; clean. fluids'!active_subst</vt:lpstr>
      <vt:lpstr>'PT6-detergents &amp; clean. fluids'!Area</vt:lpstr>
      <vt:lpstr>'PT6-paints&amp;coatings'!AREA_bridge</vt:lpstr>
      <vt:lpstr>'PT6-paints&amp;coatings'!AREA_facade</vt:lpstr>
      <vt:lpstr>'PT6-paints&amp;coatings'!Area_facade_roller_brush</vt:lpstr>
      <vt:lpstr>'PT6-paints&amp;coatings'!Area_facade_sprayer</vt:lpstr>
      <vt:lpstr>'PT6-paints&amp;coatings'!AREA_serv_life_city</vt:lpstr>
      <vt:lpstr>'PT6-paper'!Cai</vt:lpstr>
      <vt:lpstr>'PT6-detergents &amp; clean. fluids'!Cap</vt:lpstr>
      <vt:lpstr>'PT6-detergents &amp; clean. fluids'!Cdetergent</vt:lpstr>
      <vt:lpstr>'PT6-detergents &amp; clean. fluids'!Cform</vt:lpstr>
      <vt:lpstr>'PT6-detergents &amp; clean. fluids'!Cform_sanitary</vt:lpstr>
      <vt:lpstr>'PT6-detergents &amp; clean. fluids'!Cform_volume</vt:lpstr>
      <vt:lpstr>'PT6-detergents &amp; clean. fluids'!Cformvolume_dish</vt:lpstr>
      <vt:lpstr>'PT6-paints&amp;coatings'!Clocal_soil_runoff</vt:lpstr>
      <vt:lpstr>'PT6-paints&amp;coatings'!Clocal_soil_spraydrift_t1</vt:lpstr>
      <vt:lpstr>'PT6-paints&amp;coatings'!Clocal_soil_spraydrift_t2</vt:lpstr>
      <vt:lpstr>'PT6-detergents &amp; clean. fluids'!consumpt</vt:lpstr>
      <vt:lpstr>Consumption</vt:lpstr>
      <vt:lpstr>'PT6-textile'!Csubstance</vt:lpstr>
      <vt:lpstr>'PT6-detergents &amp; clean. fluids'!DOSEliquid</vt:lpstr>
      <vt:lpstr>'PT6-detergents &amp; clean. fluids'!DOSEsoftener</vt:lpstr>
      <vt:lpstr>'PT6-paints&amp;coatings'!Elocal_drip_roll_facade</vt:lpstr>
      <vt:lpstr>'PT6-paints&amp;coatings'!Elocal_runoff_facade</vt:lpstr>
      <vt:lpstr>'PT6-paints&amp;coatings'!Elocal_soil_Time1</vt:lpstr>
      <vt:lpstr>'PT6-paints&amp;coatings'!Elocal_soil_Time2</vt:lpstr>
      <vt:lpstr>'PT6-paints&amp;coatings'!Elocal_soil_Time3</vt:lpstr>
      <vt:lpstr>'PT6-paints&amp;coatings'!Elocal_spray_drift_facade_t1</vt:lpstr>
      <vt:lpstr>'PT6-paints&amp;coatings'!Elocal_spray_drift_facade_t2</vt:lpstr>
      <vt:lpstr>'PT6-paints&amp;coatings'!Elocal_spray_facade_water</vt:lpstr>
      <vt:lpstr>'PT6-textile'!Elocal_water_ep</vt:lpstr>
      <vt:lpstr>'PT6-textile'!Elocal_water_pp</vt:lpstr>
      <vt:lpstr>'PT6-textile'!Elocal_water_pt</vt:lpstr>
      <vt:lpstr>'PT6-paints&amp;coatings'!Emission_estimates_for_general_public_use_of_decorative_paints__ESD_Table_16__p_41</vt:lpstr>
      <vt:lpstr>'PT6-leather'!Emission_estimation_for_the_formulation_process_of_additives_used_in_the_leather_production__ESD_§_3.3.3.4.1</vt:lpstr>
      <vt:lpstr>'PT6-paper'!Emission_estimation_for_the_formulation_process_of_additives_used_in_the_paper_production__ESD_§_3.3.1.4.1</vt:lpstr>
      <vt:lpstr>'PT6-textile'!Emission_estimation_for_the_formulation_process_of_additives_used_in_the_textile_production__ESD_§_3.3.2.4.1</vt:lpstr>
      <vt:lpstr>'PT6-paints&amp;coatings'!Emission_estimation_for_the_formulation_process_of_paints_and_coatings__ESD_§_3.2.4.1</vt:lpstr>
      <vt:lpstr>'PT6-detergents &amp; clean. fluids'!Emission_estimation_for_the_formulation_process_of_the_detergents_and_cleaning_fluids__ESD_§_3.1.4.1</vt:lpstr>
      <vt:lpstr>'PT6-textile'!Emission_scenario_for_calculating_the_release_from_chemicals_used_in_textile_processing___ESD_§_3.3.2.4.2</vt:lpstr>
      <vt:lpstr>'PT6-leather'!Emission_scenario_for_calculating_the_release_from_chemicals_used_in_textile_processing___ESD_§_3.3.3.4.2____consumption_based</vt:lpstr>
      <vt:lpstr>'PT6-leather'!Emission_scenario_for_calculating_the_release_from_chemicals_used_in_textile_processing___ESD_§_3.3.3.4.2____tonnage_based</vt:lpstr>
      <vt:lpstr>'PT6-detergents &amp; clean. fluids'!Emission_scenario_for_calculating_the_release_of_disinfectants_used_in_human_hygiene_biocidal_products__for_private_use__based_on_the_annual_tonnage_applied__ESD_Table_7__p_30</vt:lpstr>
      <vt:lpstr>'PT6-detergents &amp; clean. fluids'!Emission_scenario_for_calculating_the_release_of_disinfectants_used_in_human_hygiene_biocidal_products_for_professional_use_based_on_the_annual_tonnage_applied__ESD_Table_7__p._30</vt:lpstr>
      <vt:lpstr>'PT6-paints&amp;coatings'!Emission_scenario_for_calculating_the_releases_during_service_life_from_a_façade__ESD_Table_19__p.46____City_scenario</vt:lpstr>
      <vt:lpstr>'PT6-paper'!Emission_scenario_for_paper_recycling__ESD_Table_25__p.53</vt:lpstr>
      <vt:lpstr>'PT6-paper'!Fai</vt:lpstr>
      <vt:lpstr>'PT6-paints&amp;coatings'!Fai_roller_brush</vt:lpstr>
      <vt:lpstr>'PT6-paints&amp;coatings'!Fai_sprayer</vt:lpstr>
      <vt:lpstr>'PT6-paints&amp;coatings'!Fair_form</vt:lpstr>
      <vt:lpstr>'PT6-fuels'!Fair_formulation</vt:lpstr>
      <vt:lpstr>'PT6-leather'!Fair_formulation</vt:lpstr>
      <vt:lpstr>'PT6-paper'!Fair_formulation</vt:lpstr>
      <vt:lpstr>'PT6-textile'!Fair_formulation</vt:lpstr>
      <vt:lpstr>'PT6-paints&amp;coatings'!Fair_ref</vt:lpstr>
      <vt:lpstr>'PT6-paper'!Fair_ref</vt:lpstr>
      <vt:lpstr>'PT6-textile'!Fair_ref</vt:lpstr>
      <vt:lpstr>'PT6-paints&amp;coatings'!Fair_ton</vt:lpstr>
      <vt:lpstr>'PT6-paper'!Fbroke</vt:lpstr>
      <vt:lpstr>'PT6-detergents &amp; clean. fluids'!Fchem_form</vt:lpstr>
      <vt:lpstr>'PT6-fuels'!Fchem_form_formulation</vt:lpstr>
      <vt:lpstr>'PT6-leather'!Fchem_form_formulation</vt:lpstr>
      <vt:lpstr>'PT6-paints&amp;coatings'!Fchem_form_formulation</vt:lpstr>
      <vt:lpstr>'PT6-paper'!Fchem_form_formulation</vt:lpstr>
      <vt:lpstr>'PT6-textile'!Fchem_form_formulation</vt:lpstr>
      <vt:lpstr>'PT6-leather'!Fchemform_application</vt:lpstr>
      <vt:lpstr>'PT6-paper'!Fclosure</vt:lpstr>
      <vt:lpstr>'PT6-detergents &amp; clean. fluids'!Fconc</vt:lpstr>
      <vt:lpstr>'PT6-paper'!Fdecomp</vt:lpstr>
      <vt:lpstr>'PT6-paper'!Fdecomp_drying</vt:lpstr>
      <vt:lpstr>'PT6-paper'!Fdeinking</vt:lpstr>
      <vt:lpstr>'PT6-paints&amp;coatings'!Fdep</vt:lpstr>
      <vt:lpstr>'PT6-detergents &amp; clean. fluids'!Fdis</vt:lpstr>
      <vt:lpstr>'PT6-detergents &amp; clean. fluids'!Fdis_prof</vt:lpstr>
      <vt:lpstr>'PT6-detergents &amp; clean. fluids'!Fdis_sanitary</vt:lpstr>
      <vt:lpstr>'PT6-detergents &amp; clean. fluids'!Fdis_ton_priv</vt:lpstr>
      <vt:lpstr>'PT6-paints&amp;coatings'!Fdrift</vt:lpstr>
      <vt:lpstr>'PT6-paints&amp;coatings'!Fdripping</vt:lpstr>
      <vt:lpstr>'PT6-paper'!Fevap</vt:lpstr>
      <vt:lpstr>'PT6-paper'!Ffix</vt:lpstr>
      <vt:lpstr>'PT6-leather'!Ffix_1</vt:lpstr>
      <vt:lpstr>'PT6-leather'!Ffix_2</vt:lpstr>
      <vt:lpstr>'PT6-leather'!Ffix_3</vt:lpstr>
      <vt:lpstr>'PT6-leather'!Ffix_4</vt:lpstr>
      <vt:lpstr>'PT6-textile'!Ffixation_ep</vt:lpstr>
      <vt:lpstr>'PT6-textile'!Ffixation_pp</vt:lpstr>
      <vt:lpstr>'PT6-textile'!Ffixation_pt</vt:lpstr>
      <vt:lpstr>'PT6-paints&amp;coatings'!fhouse</vt:lpstr>
      <vt:lpstr>'PT6-leather'!Fin_can</vt:lpstr>
      <vt:lpstr>'PT6-detergents &amp; clean. fluids'!Finh</vt:lpstr>
      <vt:lpstr>'PT6-detergents &amp; clean. fluids'!Fliquid</vt:lpstr>
      <vt:lpstr>'PT6-paper'!Fmainsource</vt:lpstr>
      <vt:lpstr>'PT6-leather'!Fmainsource_application</vt:lpstr>
      <vt:lpstr>'PT6-detergents &amp; clean. fluids'!Fmainsource_form</vt:lpstr>
      <vt:lpstr>'PT6-fuels'!Fmainsource_formulation</vt:lpstr>
      <vt:lpstr>'PT6-leather'!Fmainsource_formulation</vt:lpstr>
      <vt:lpstr>'PT6-paints&amp;coatings'!Fmainsource_formulation</vt:lpstr>
      <vt:lpstr>'PT6-paper'!Fmainsource_formulation</vt:lpstr>
      <vt:lpstr>'PT6-textile'!Fmainsource_formulation</vt:lpstr>
      <vt:lpstr>'PT6-detergents &amp; clean. fluids'!Fmainsource_priv</vt:lpstr>
      <vt:lpstr>'PT6-detergents &amp; clean. fluids'!Fmainsource_prof</vt:lpstr>
      <vt:lpstr>'PT6-paints&amp;coatings'!Fmainsource_ton</vt:lpstr>
      <vt:lpstr>'PT6-leather'!Fon_site_treat</vt:lpstr>
      <vt:lpstr>'PT6-leather'!Fpen</vt:lpstr>
      <vt:lpstr>'PT6-textile'!Fpenetr</vt:lpstr>
      <vt:lpstr>'PT6-detergents &amp; clean. fluids'!Fpenetr_dish</vt:lpstr>
      <vt:lpstr>'PT6-detergents &amp; clean. fluids'!Fpenetr_fabric</vt:lpstr>
      <vt:lpstr>'PT6-detergents &amp; clean. fluids'!Fpenetr_hosp</vt:lpstr>
      <vt:lpstr>'PT6-detergents &amp; clean. fluids'!Fpenetr_ind</vt:lpstr>
      <vt:lpstr>'PT6-detergents &amp; clean. fluids'!Fpenetr_priv</vt:lpstr>
      <vt:lpstr>'PT6-detergents &amp; clean. fluids'!Fpenetr_sanitary</vt:lpstr>
      <vt:lpstr>'PT6-paper'!Fpreliminary</vt:lpstr>
      <vt:lpstr>'PT6-leather'!Fprod_1</vt:lpstr>
      <vt:lpstr>'PT6-leather'!Fprod_2</vt:lpstr>
      <vt:lpstr>'PT6-leather'!Fprod_3</vt:lpstr>
      <vt:lpstr>'PT6-leather'!Fprod_4</vt:lpstr>
      <vt:lpstr>'PT6-textile'!Fproduct</vt:lpstr>
      <vt:lpstr>'PT6-detergents &amp; clean. fluids'!Fprodvol_reg_priv</vt:lpstr>
      <vt:lpstr>'PT6-detergents &amp; clean. fluids'!Fprodvolreg_prof</vt:lpstr>
      <vt:lpstr>'PT6-paper'!Frecycling</vt:lpstr>
      <vt:lpstr>'PT6-detergents &amp; clean. fluids'!Fred</vt:lpstr>
      <vt:lpstr>'PT6-paper'!Freg</vt:lpstr>
      <vt:lpstr>'PT6-leather'!Freg_application</vt:lpstr>
      <vt:lpstr>'PT6-detergents &amp; clean. fluids'!Freg_formulation</vt:lpstr>
      <vt:lpstr>'PT6-fuels'!Freg_formulation</vt:lpstr>
      <vt:lpstr>'PT6-leather'!Freg_formulation</vt:lpstr>
      <vt:lpstr>'PT6-paints&amp;coatings'!Freg_formulation</vt:lpstr>
      <vt:lpstr>'PT6-paper'!Freg_formulation</vt:lpstr>
      <vt:lpstr>'PT6-textile'!Freg_formulation</vt:lpstr>
      <vt:lpstr>'PT6-paints&amp;coatings'!Freg_ton</vt:lpstr>
      <vt:lpstr>'PT6-leather'!Fremaining_1</vt:lpstr>
      <vt:lpstr>'PT6-leather'!Fremaining_2</vt:lpstr>
      <vt:lpstr>'PT6-leather'!Fremaining_3</vt:lpstr>
      <vt:lpstr>'PT6-leather'!Fremaining_4</vt:lpstr>
      <vt:lpstr>'PT6-textile'!Fresidual_liquor</vt:lpstr>
      <vt:lpstr>'PT6-paints&amp;coatings'!Frunoff</vt:lpstr>
      <vt:lpstr>'PT6-paints&amp;coatings'!Fsoil_form</vt:lpstr>
      <vt:lpstr>'PT6-fuels'!Fsoil_formulation</vt:lpstr>
      <vt:lpstr>'PT6-leather'!Fsoil_formulation</vt:lpstr>
      <vt:lpstr>'PT6-paper'!Fsoil_formulation</vt:lpstr>
      <vt:lpstr>'PT6-textile'!Fsoil_formulation</vt:lpstr>
      <vt:lpstr>'PT6-paints&amp;coatings'!Fsoil_ref</vt:lpstr>
      <vt:lpstr>'PT6-paper'!Fsoil_ref</vt:lpstr>
      <vt:lpstr>'PT6-textile'!Fsoil_ref</vt:lpstr>
      <vt:lpstr>'PT6-detergents &amp; clean. fluids'!Fwater_dish</vt:lpstr>
      <vt:lpstr>'PT6-detergents &amp; clean. fluids'!Fwater_fabric</vt:lpstr>
      <vt:lpstr>'PT6-detergents &amp; clean. fluids'!Fwater_form</vt:lpstr>
      <vt:lpstr>'PT6-paints&amp;coatings'!Fwater_form</vt:lpstr>
      <vt:lpstr>'PT6-fuels'!Fwater_formulation</vt:lpstr>
      <vt:lpstr>'PT6-leather'!Fwater_formulation</vt:lpstr>
      <vt:lpstr>'PT6-paper'!Fwater_formulation</vt:lpstr>
      <vt:lpstr>'PT6-textile'!Fwater_formulation</vt:lpstr>
      <vt:lpstr>'PT6-detergents &amp; clean. fluids'!Fwater_ind</vt:lpstr>
      <vt:lpstr>'PT6-detergents &amp; clean. fluids'!Fwater_priv</vt:lpstr>
      <vt:lpstr>'PT6-detergents &amp; clean. fluids'!Fwater_prof</vt:lpstr>
      <vt:lpstr>'PT6-leather'!Fwater_ref</vt:lpstr>
      <vt:lpstr>'PT6-paints&amp;coatings'!Fwater_ref</vt:lpstr>
      <vt:lpstr>'PT6-paper'!Fwater_ref</vt:lpstr>
      <vt:lpstr>'PT6-textile'!Fwater_ref</vt:lpstr>
      <vt:lpstr>'PT6-detergents &amp; clean. fluids'!Fwater_refined</vt:lpstr>
      <vt:lpstr>'PT6-detergents &amp; clean. fluids'!Fwater_sanitary</vt:lpstr>
      <vt:lpstr>'PT6-paints&amp;coatings'!Fwater_ton</vt:lpstr>
      <vt:lpstr>'PT6-detergents &amp; clean. fluids'!Fwater_ton_priv</vt:lpstr>
      <vt:lpstr>'PT6-paper'!in_can</vt:lpstr>
      <vt:lpstr>'PT6-paints&amp;coatings'!k</vt:lpstr>
      <vt:lpstr>'PT6-paints&amp;coatings'!Ksoil_water</vt:lpstr>
      <vt:lpstr>'PT6-leather'!Leather_1</vt:lpstr>
      <vt:lpstr>'PT6-leather'!Leather_2</vt:lpstr>
      <vt:lpstr>'PT6-leather'!Leather_3</vt:lpstr>
      <vt:lpstr>'PT6-leather'!Leather_4</vt:lpstr>
      <vt:lpstr>'PT6-detergents &amp; clean. fluids'!Nappl_ind</vt:lpstr>
      <vt:lpstr>'PT6-detergents &amp; clean. fluids'!Nappl_priv</vt:lpstr>
      <vt:lpstr>'PT6-paper'!Nd</vt:lpstr>
      <vt:lpstr>'PT6-detergents &amp; clean. fluids'!Nhouse</vt:lpstr>
      <vt:lpstr>'PT6-paints&amp;coatings'!Nhouse</vt:lpstr>
      <vt:lpstr>'PT6-paints&amp;coatings'!Nhouse_initial</vt:lpstr>
      <vt:lpstr>'PT6-paints&amp;coatings'!Nhouse_longer</vt:lpstr>
      <vt:lpstr>'PT6-paints&amp;coatings'!nhouses_app_city</vt:lpstr>
      <vt:lpstr>'PT6-paints&amp;coatings'!nhouses_app_countryside</vt:lpstr>
      <vt:lpstr>'PT6-paints&amp;coatings'!nhouses_applic_city</vt:lpstr>
      <vt:lpstr>'PT6-paints&amp;coatings'!nhouses_applic_countryside</vt:lpstr>
      <vt:lpstr>'PT6-detergents &amp; clean. fluids'!Nlocal_dish</vt:lpstr>
      <vt:lpstr>'PT6-detergents &amp; clean. fluids'!Nlocal_priv</vt:lpstr>
      <vt:lpstr>'PT6-detergents &amp; clean. fluids'!Nlocal_sanitary</vt:lpstr>
      <vt:lpstr>'PT6-detergents &amp; clean. fluids'!Nm</vt:lpstr>
      <vt:lpstr>'PT6-detergents &amp; clean. fluids'!Nwash</vt:lpstr>
      <vt:lpstr>paper</vt:lpstr>
      <vt:lpstr>'PT6-detergents &amp; clean. fluids'!product_form</vt:lpstr>
      <vt:lpstr>ProductForm</vt:lpstr>
      <vt:lpstr>prof_amateurs</vt:lpstr>
      <vt:lpstr>'PT6-paints&amp;coatings'!Q_coat</vt:lpstr>
      <vt:lpstr>'PT6-paper'!Qactive</vt:lpstr>
      <vt:lpstr>'PT6-paper'!Qadditive</vt:lpstr>
      <vt:lpstr>'PT6-paints&amp;coatings'!Qapplic_roller_brush</vt:lpstr>
      <vt:lpstr>'PT6-paints&amp;coatings'!Qapplic_sprayer</vt:lpstr>
      <vt:lpstr>'PT6-leather'!Qform_1</vt:lpstr>
      <vt:lpstr>'PT6-leather'!Qform_2</vt:lpstr>
      <vt:lpstr>'PT6-leather'!Qform_3</vt:lpstr>
      <vt:lpstr>'PT6-leather'!Qform_4</vt:lpstr>
      <vt:lpstr>'PT6-detergents &amp; clean. fluids'!Qform_sanitary</vt:lpstr>
      <vt:lpstr>'PT6-paints&amp;coatings'!Qinit_coat</vt:lpstr>
      <vt:lpstr>'PT6-paints&amp;coatings'!Qleach_time1</vt:lpstr>
      <vt:lpstr>'PT6-paints&amp;coatings'!Qleach_time1_bridge</vt:lpstr>
      <vt:lpstr>'PT6-paints&amp;coatings'!Qleach_time1_soil</vt:lpstr>
      <vt:lpstr>'PT6-paints&amp;coatings'!Qleach_time2</vt:lpstr>
      <vt:lpstr>'PT6-paints&amp;coatings'!Qleach_time2_bridge</vt:lpstr>
      <vt:lpstr>'PT6-paints&amp;coatings'!Qleach_time2_soil</vt:lpstr>
      <vt:lpstr>Qleach_time3_bridge</vt:lpstr>
      <vt:lpstr>'PT6-paints&amp;coatings'!Qleach_time3_soil</vt:lpstr>
      <vt:lpstr>'PT6-paper'!Qpaper</vt:lpstr>
      <vt:lpstr>'PT6-paper'!Qpaper_papermaking</vt:lpstr>
      <vt:lpstr>'PT6-textile'!Qproduct_ep</vt:lpstr>
      <vt:lpstr>'PT6-textile'!Qproduct_pp</vt:lpstr>
      <vt:lpstr>'PT6-textile'!Qproduct_pt</vt:lpstr>
      <vt:lpstr>'PT6-leather'!Qrawhide</vt:lpstr>
      <vt:lpstr>'PT6-textile'!Qtextile</vt:lpstr>
      <vt:lpstr>'PT6-leather'!RELEASEwater</vt:lpstr>
      <vt:lpstr>'PT6-detergents &amp; clean. fluids'!RHOform_priv</vt:lpstr>
      <vt:lpstr>'PT6-paints&amp;coatings'!RHOprod_roller_brush</vt:lpstr>
      <vt:lpstr>'PT6-paints&amp;coatings'!RHOprod_sprayer</vt:lpstr>
      <vt:lpstr>'PT6-paints&amp;coatings'!RHOsoil</vt:lpstr>
      <vt:lpstr>'PT6-paints&amp;coatings'!RHOsoil_roller_brush</vt:lpstr>
      <vt:lpstr>'PT6-paints&amp;coatings'!RHOsoil_sprayer</vt:lpstr>
      <vt:lpstr>Select_form_of_product</vt:lpstr>
      <vt:lpstr>Select_leather_type</vt:lpstr>
      <vt:lpstr>'PT6-paper'!select_paper</vt:lpstr>
      <vt:lpstr>Select_solubility</vt:lpstr>
      <vt:lpstr>'PT6-leather'!Select_tonnage</vt:lpstr>
      <vt:lpstr>'PT6-fuels'!Select_tonnage_range</vt:lpstr>
      <vt:lpstr>'PT6-leather'!Select_tonnage_range</vt:lpstr>
      <vt:lpstr>'PT6-paper'!Select_tonnage_range</vt:lpstr>
      <vt:lpstr>'PT6-textile'!Select_tonnage_range</vt:lpstr>
      <vt:lpstr>'PT6-leather'!Select_treat_step1</vt:lpstr>
      <vt:lpstr>'PT6-leather'!Select_treat_step2</vt:lpstr>
      <vt:lpstr>'PT6-leather'!Select_treat_step3</vt:lpstr>
      <vt:lpstr>'PT6-leather'!Select_treat_step4</vt:lpstr>
      <vt:lpstr>Select_type_of_paper</vt:lpstr>
      <vt:lpstr>'PT6-leather'!Solubility</vt:lpstr>
      <vt:lpstr>solubility</vt:lpstr>
      <vt:lpstr>'PT6-paints&amp;coatings'!Spreadsheet_index__click_on_the_title_to_be_directed_to_the_sub_scenario</vt:lpstr>
      <vt:lpstr>'PT6-leather'!Temission_application</vt:lpstr>
      <vt:lpstr>'PT6-detergents &amp; clean. fluids'!Temission_form</vt:lpstr>
      <vt:lpstr>'PT6-fuels'!Temission_formulation</vt:lpstr>
      <vt:lpstr>'PT6-leather'!Temission_formulation</vt:lpstr>
      <vt:lpstr>'PT6-paints&amp;coatings'!Temission_formulation</vt:lpstr>
      <vt:lpstr>'PT6-paper'!Temission_formulation</vt:lpstr>
      <vt:lpstr>'PT6-textile'!Temission_formulation</vt:lpstr>
      <vt:lpstr>'PT6-detergents &amp; clean. fluids'!Temission_priv</vt:lpstr>
      <vt:lpstr>'PT6-detergents &amp; clean. fluids'!Temission_prof</vt:lpstr>
      <vt:lpstr>'PT6-paints&amp;coatings'!Temission_ton</vt:lpstr>
      <vt:lpstr>'PT6-paints&amp;coatings'!TIME1</vt:lpstr>
      <vt:lpstr>'PT6-paints&amp;coatings'!TIME1_bridge</vt:lpstr>
      <vt:lpstr>'PT6-paints&amp;coatings'!TIME1_facade</vt:lpstr>
      <vt:lpstr>'PT6-paints&amp;coatings'!TIME2</vt:lpstr>
      <vt:lpstr>'PT6-paints&amp;coatings'!TIME2_bridge</vt:lpstr>
      <vt:lpstr>'PT6-paints&amp;coatings'!TIME2_facade</vt:lpstr>
      <vt:lpstr>'PT6-paints&amp;coatings'!TIME2minusTIME1</vt:lpstr>
      <vt:lpstr>'PT6-paints&amp;coatings'!TIME3_bridge</vt:lpstr>
      <vt:lpstr>'PT6-paints&amp;coatings'!TIME3_facade</vt:lpstr>
      <vt:lpstr>'PT6-paints&amp;coatings'!Tonnage</vt:lpstr>
      <vt:lpstr>'PT6-paints&amp;coatings'!TONNAGE_formulation</vt:lpstr>
      <vt:lpstr>'PT6-detergents &amp; clean. fluids'!Tonnage_priv</vt:lpstr>
      <vt:lpstr>'PT6-detergents &amp; clean. fluids'!TONNAGE_prof</vt:lpstr>
      <vt:lpstr>tonnage_range_detergents</vt:lpstr>
      <vt:lpstr>tonnage_range_fuels</vt:lpstr>
      <vt:lpstr>tonnage_range_leather</vt:lpstr>
      <vt:lpstr>tonnage_range_leather_application</vt:lpstr>
      <vt:lpstr>tonnage_range_paints</vt:lpstr>
      <vt:lpstr>tonnage_range_paper</vt:lpstr>
      <vt:lpstr>tonnage_range_textile</vt:lpstr>
      <vt:lpstr>'PT6-paper'!Tonnage_recyc</vt:lpstr>
      <vt:lpstr>'PT6-paints&amp;coatings'!TONNAGE_reg_form_picklist</vt:lpstr>
      <vt:lpstr>'PT6-detergents &amp; clean. fluids'!Tonnage_reg_priv</vt:lpstr>
      <vt:lpstr>'PT6-leather'!TONNAGEapplication</vt:lpstr>
      <vt:lpstr>'PT6-detergents &amp; clean. fluids'!TONNAGEformulation</vt:lpstr>
      <vt:lpstr>'PT6-fuels'!TONNAGEformulation</vt:lpstr>
      <vt:lpstr>'PT6-leather'!TONNAGEformulation</vt:lpstr>
      <vt:lpstr>'PT6-paper'!TONNAGEformulation</vt:lpstr>
      <vt:lpstr>'PT6-textile'!TONNAGEformulation</vt:lpstr>
      <vt:lpstr>'PT6-leather'!TONNAGEreg_application</vt:lpstr>
      <vt:lpstr>TONNAGEreg_form</vt:lpstr>
      <vt:lpstr>'PT6-detergents &amp; clean. fluids'!TONNAGEreg_formulation</vt:lpstr>
      <vt:lpstr>'PT6-fuels'!TONNAGEreg_formulation</vt:lpstr>
      <vt:lpstr>'PT6-leather'!TONNAGEreg_formulation</vt:lpstr>
      <vt:lpstr>'PT6-paints&amp;coatings'!TONNAGEreg_formulation</vt:lpstr>
      <vt:lpstr>'PT6-paper'!TONNAGEreg_formulation</vt:lpstr>
      <vt:lpstr>'PT6-textile'!TONNAGEreg_formulation</vt:lpstr>
      <vt:lpstr>'PT6-detergents &amp; clean. fluids'!TONNAGEreg_prof</vt:lpstr>
      <vt:lpstr>'PT6-paper'!TONNAGEreg_recyc</vt:lpstr>
      <vt:lpstr>'PT6-detergents &amp; clean. fluids'!TONNAGEregform</vt:lpstr>
      <vt:lpstr>'PT6-leather'!TONNAGEregform_application</vt:lpstr>
      <vt:lpstr>'PT6-fuels'!TONNAGEregform_formulation</vt:lpstr>
      <vt:lpstr>'PT6-leather'!TONNAGEregform_formulation</vt:lpstr>
      <vt:lpstr>'PT6-paints&amp;coatings'!TONNAGEregform_formulation</vt:lpstr>
      <vt:lpstr>'PT6-paper'!TONNAGEregform_formulation</vt:lpstr>
      <vt:lpstr>'PT6-textile'!TONNAGEregform_formulation</vt:lpstr>
      <vt:lpstr>'PT6-detergents &amp; clean. fluids'!TONNAGEregform_picklist</vt:lpstr>
      <vt:lpstr>treatment_step</vt:lpstr>
      <vt:lpstr>vapour_pressure</vt:lpstr>
      <vt:lpstr>'PT6-detergents &amp; clean. fluids'!Vform</vt:lpstr>
      <vt:lpstr>'PT6-detergents &amp; clean. fluids'!Vforminh_dish</vt:lpstr>
      <vt:lpstr>volatility</vt:lpstr>
      <vt:lpstr>'PT6-detergents &amp; clean. fluids'!Vproduct</vt:lpstr>
      <vt:lpstr>'PT6-paints&amp;coatings'!Vsoil</vt:lpstr>
      <vt:lpstr>Vsoil_countryside</vt:lpstr>
      <vt:lpstr>'PT6-paints&amp;coatings'!Vsoil_drift_t1</vt:lpstr>
      <vt:lpstr>'PT6-paints&amp;coatings'!Vsoil_drift_t2</vt:lpstr>
      <vt:lpstr>'PT6-paints&amp;coatings'!Vsoil_runoff</vt:lpstr>
      <vt:lpstr>'PT6-paints&amp;coatings'!Vwater</vt:lpstr>
      <vt:lpstr>Yes_No?</vt:lpstr>
    </vt:vector>
  </TitlesOfParts>
  <Company>European Chemicals Agency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dc:title>
  <dc:creator>NOGUEIRO Eugenia</dc:creator>
  <cp:lastModifiedBy>NOGUEIRO Eugenia</cp:lastModifiedBy>
  <dcterms:created xsi:type="dcterms:W3CDTF">2015-06-18T08:46:54Z</dcterms:created>
  <dcterms:modified xsi:type="dcterms:W3CDTF">2019-12-04T07:59:13Z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0x010100B558917389A54ADDB58930FBD7E6FD57008586DED9191B4C4CBD31A5DF7F304A7100FFDF787D330BE64A9729A05E65AC29AD</vt:lpwstr>
  </property>
  <property fmtid="{D5CDD505-2E9C-101B-9397-08002B2CF9AE}" pid="3" name="ECHAProcess">
    <vt:lpwstr>9;#16.00 Activity management and development|e303f835-0e5c-4fee-8486-ae6996d815ae</vt:lpwstr>
  </property>
  <property fmtid="{D5CDD505-2E9C-101B-9397-08002B2CF9AE}" pid="4" name="ECHADocumentType">
    <vt:lpwstr/>
  </property>
  <property fmtid="{D5CDD505-2E9C-101B-9397-08002B2CF9AE}" pid="5" name="ECHASecClass">
    <vt:lpwstr>1;#Internal|a0307bc2-faf9-4068-8aeb-b713e4fa2a0f</vt:lpwstr>
  </property>
  <property fmtid="{D5CDD505-2E9C-101B-9397-08002B2CF9AE}" pid="6" name="ECHACategory">
    <vt:lpwstr/>
  </property>
  <property fmtid="{D5CDD505-2E9C-101B-9397-08002B2CF9AE}" pid="7" name="_dlc_DocIdItemGuid">
    <vt:lpwstr>08e10596-6a0a-4331-9b9b-6c77f5978ae4</vt:lpwstr>
  </property>
</Properties>
</file>