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ttps://activity.echa.europa.eu/sites/act-16/process-16-0/docs/16.00.08 Teams/07. AHEE/01_Models/1_Model prep/ESDs_Excel/ESDs ECHA/02 To be published/ready to be published/"/>
    </mc:Choice>
  </mc:AlternateContent>
  <bookViews>
    <workbookView xWindow="0" yWindow="0" windowWidth="13680" windowHeight="8985" tabRatio="884"/>
  </bookViews>
  <sheets>
    <sheet name="Introduction" sheetId="26" r:id="rId1"/>
    <sheet name="Index" sheetId="25" r:id="rId2"/>
    <sheet name="PT8-automated spraying" sheetId="55" r:id="rId3"/>
    <sheet name="PT8-dipping_immersion processes" sheetId="30" r:id="rId4"/>
    <sheet name="PT8-vacuum_double vacuum proc" sheetId="37" r:id="rId5"/>
    <sheet name="PT8-prof&amp;amateur in situ treatm" sheetId="51" r:id="rId6"/>
    <sheet name="PT8-treatd wood in service UC3 " sheetId="39" r:id="rId7"/>
    <sheet name="PT8-treatd wood in service UC4a" sheetId="54" r:id="rId8"/>
    <sheet name="PT8-treatd wood in service UC4b" sheetId="52" r:id="rId9"/>
    <sheet name="PT8-treatd wood in service UC5" sheetId="53" r:id="rId10"/>
    <sheet name="PT8-indoor fumigation" sheetId="41" r:id="rId11"/>
    <sheet name="PT8-injection" sheetId="42" r:id="rId12"/>
    <sheet name="PT8-wrapping" sheetId="44" r:id="rId13"/>
    <sheet name="PT8-termite control" sheetId="45" r:id="rId14"/>
    <sheet name="PT8-in-situ spraying" sheetId="56" r:id="rId15"/>
    <sheet name="PT8-railway sleepers" sheetId="47" r:id="rId16"/>
    <sheet name="PT8-dock and deck-fence" sheetId="48" r:id="rId17"/>
    <sheet name="Pick-lists &amp; Defaults" sheetId="3" r:id="rId18"/>
  </sheets>
  <definedNames>
    <definedName name="_xlnm._FilterDatabase" localSheetId="17" hidden="1">'Pick-lists &amp; Defaults'!#REF!</definedName>
    <definedName name="A__Emission_scenario_for_dipping_immersion_product_application" localSheetId="3">'PT8-dipping_immersion processes'!$B$16</definedName>
    <definedName name="A__Emission_scenario_for_in_situ_treatment___house_scenario__ESD_Table_4.11__p.63___fence_scenario__ESD_Table_4.12__p.64___bridge_over_pond_scenario__ESD_Table_4.13__p.65____TIER_1" localSheetId="5">'PT8-prof&amp;amateur in situ treatm'!$B$12</definedName>
    <definedName name="A__Emission_scenario_for_vacuum_pressure_and_double_vacuum_low_pressure_processes_product_application" localSheetId="4">'PT8-vacuum_double vacuum proc'!$B$16</definedName>
    <definedName name="A__House_scenario" localSheetId="6">'PT8-treatd wood in service UC3 '!$B$20</definedName>
    <definedName name="A_Emission_scenario_for_automated_spraying_product_application" localSheetId="2">'PT8-automated spraying'!$B$16</definedName>
    <definedName name="A_Emission_scenario_for_treated_docks_in_service__ESD_Table_4.42__p.120" localSheetId="16">'PT8-dock and deck-fence'!$B$16</definedName>
    <definedName name="A_Jetty_in_a_lake" localSheetId="8">'PT8-treatd wood in service UC4b'!$B$17</definedName>
    <definedName name="A_Preventive_pre_construction_foundation_treatment" localSheetId="13">'PT8-termite control'!$B$16</definedName>
    <definedName name="A_Transmission_pole" localSheetId="7">'PT8-treatd wood in service UC4a'!$B$18</definedName>
    <definedName name="application_except_noisebarrier">'Pick-lists &amp; Defaults'!$B$104:$B$108</definedName>
    <definedName name="application_method_process">'Pick-lists &amp; Defaults'!$B$104:$B$109</definedName>
    <definedName name="AREA_storage" localSheetId="2">'PT8-automated spraying'!$F$78</definedName>
    <definedName name="area_volume">'Pick-lists &amp; Defaults'!$B$118:$B$120</definedName>
    <definedName name="area_volume_dock" localSheetId="16">'PT8-dock and deck-fence'!$F$28</definedName>
    <definedName name="AREAbridge" localSheetId="5">'PT8-prof&amp;amateur in situ treatm'!$F$26</definedName>
    <definedName name="AREAbridge" localSheetId="6">'PT8-treatd wood in service UC3 '!$F$320</definedName>
    <definedName name="AREAdeck_fence" localSheetId="16">'PT8-dock and deck-fence'!$F$77</definedName>
    <definedName name="AREAfence" localSheetId="5">'PT8-prof&amp;amateur in situ treatm'!$F$25</definedName>
    <definedName name="AREAfence" localSheetId="6">'PT8-treatd wood in service UC3 '!$F$133</definedName>
    <definedName name="AREAhouse" localSheetId="14">'PT8-in-situ spraying'!$E$24</definedName>
    <definedName name="AREAhouse" localSheetId="5">'PT8-prof&amp;amateur in situ treatm'!$F$24</definedName>
    <definedName name="AREAhouse" localSheetId="6">'PT8-treatd wood in service UC3 '!$F$39</definedName>
    <definedName name="AREAhouse_leachable" localSheetId="14">'PT8-in-situ spraying'!$E$44</definedName>
    <definedName name="AREAnoise_barrier" localSheetId="6">'PT8-treatd wood in service UC3 '!$F$220</definedName>
    <definedName name="AREAplanks" localSheetId="8">'PT8-treatd wood in service UC4b'!$F$28</definedName>
    <definedName name="AREAplanks" localSheetId="9">'PT8-treatd wood in service UC5'!$F$21</definedName>
    <definedName name="AREApole_above" localSheetId="7">'PT8-treatd wood in service UC4a'!$F$29</definedName>
    <definedName name="AREApole_below" localSheetId="11">'PT8-injection'!$E$22</definedName>
    <definedName name="AREApole_below" localSheetId="7">'PT8-treatd wood in service UC4a'!$F$31</definedName>
    <definedName name="AREApole_below" localSheetId="12">'PT8-wrapping'!$E$21</definedName>
    <definedName name="AREApole_inj" localSheetId="11">'PT8-injection'!$E$20</definedName>
    <definedName name="AREApoles" localSheetId="8">'PT8-treatd wood in service UC4b'!$F$30</definedName>
    <definedName name="AREApoles" localSheetId="9">'PT8-treatd wood in service UC5'!$F$23</definedName>
    <definedName name="AREApoles_SP" localSheetId="8">'PT8-treatd wood in service UC4b'!$F$98</definedName>
    <definedName name="AREApost_above" localSheetId="7">'PT8-treatd wood in service UC4a'!$F$109</definedName>
    <definedName name="AREApost_below" localSheetId="7">'PT8-treatd wood in service UC4a'!$F$111</definedName>
    <definedName name="AREAsleepers" localSheetId="15">'PT8-railway sleepers'!$E$21</definedName>
    <definedName name="AREAstorage" localSheetId="3">'PT8-dipping_immersion processes'!$F$61</definedName>
    <definedName name="AREAstorage" localSheetId="4">'PT8-vacuum_double vacuum proc'!$F$63</definedName>
    <definedName name="AREAtreated_perimeter" localSheetId="13">'PT8-termite control'!$F$53</definedName>
    <definedName name="AREAtreated_post" localSheetId="13">'PT8-termite control'!$F$113</definedName>
    <definedName name="AREAtreated_prev" localSheetId="13">'PT8-termite control'!$F$37</definedName>
    <definedName name="AREAtreated_trench" localSheetId="13">'PT8-termite control'!$F$129</definedName>
    <definedName name="AREAwood_expo" localSheetId="2">'PT8-automated spraying'!$F$76</definedName>
    <definedName name="AREAwood_expo" localSheetId="3">'PT8-dipping_immersion processes'!$F$59</definedName>
    <definedName name="AREAwood_expo" localSheetId="4">'PT8-vacuum_double vacuum proc'!$F$61</definedName>
    <definedName name="AREAwood_treated" localSheetId="2">'PT8-automated spraying'!$F$29</definedName>
    <definedName name="B__Emission_scenario_for_dipping_immersion_storage_of_treated_wood_prior_to_shipping" localSheetId="3">'PT8-dipping_immersion processes'!$B$48</definedName>
    <definedName name="B__Emission_scenario_for_vacuum_pressure_and_double_vacuum_low_pressure_processes_storage_and_treated_wood_prior_to_shipping" localSheetId="4">'PT8-vacuum_double vacuum proc'!$B$49</definedName>
    <definedName name="B__Fence_scenario" localSheetId="6">'PT8-treatd wood in service UC3 '!$B$114</definedName>
    <definedName name="B_Emission_scenario_for_automated_spraying_storage" localSheetId="2">'PT8-automated spraying'!$B$64</definedName>
    <definedName name="B_Emission_scenario_for_treated_decks_fences_in_service__ESD_Table_4.43__p.121" localSheetId="16">'PT8-dock and deck-fence'!$B$66</definedName>
    <definedName name="B_Fence_post" localSheetId="7">'PT8-treatd wood in service UC4a'!$B$98</definedName>
    <definedName name="B_Post_construction_trench_treatment" localSheetId="13">'PT8-termite control'!$B$92</definedName>
    <definedName name="B_Sheet_piling_in_a_waterway" localSheetId="8">'PT8-treatd wood in service UC4b'!$B$87</definedName>
    <definedName name="C__Noise_barrier_scenario" localSheetId="6">'PT8-treatd wood in service UC3 '!$B$208</definedName>
    <definedName name="Cai" localSheetId="2">'PT8-automated spraying'!$F$38</definedName>
    <definedName name="Clocal_soil_brush_fence" localSheetId="5">'PT8-prof&amp;amateur in situ treatm'!$F$58</definedName>
    <definedName name="Clocal_soil_brush_fence" localSheetId="6">'PT8-treatd wood in service UC3 '!$F$131</definedName>
    <definedName name="Clocal_soil_brush_house" localSheetId="5">'PT8-prof&amp;amateur in situ treatm'!$F$52</definedName>
    <definedName name="Clocal_soil_brush_house" localSheetId="6">'PT8-treatd wood in service UC3 '!$F$37</definedName>
    <definedName name="Clocal_soil_inj" localSheetId="11">'PT8-injection'!$E$80</definedName>
    <definedName name="Clocal_soil_inj" localSheetId="14">'PT8-in-situ spraying'!$E$66</definedName>
    <definedName name="Clocal_soil_leach_TIME1" localSheetId="11">'PT8-injection'!$E$85</definedName>
    <definedName name="Clocal_soil_leach_TIME1_fence" localSheetId="6">'PT8-treatd wood in service UC3 '!$F$175</definedName>
    <definedName name="Clocal_soil_leach_TIME1_house" localSheetId="6">'PT8-treatd wood in service UC3 '!$F$81</definedName>
    <definedName name="Clocal_soil_leach_TIME2" localSheetId="11">'PT8-injection'!$E$87</definedName>
    <definedName name="Clocal_soil_leach_TIME2_fence" localSheetId="6">'PT8-treatd wood in service UC3 '!$F$177</definedName>
    <definedName name="Clocal_soil_leach_TIME2_house" localSheetId="6">'PT8-treatd wood in service UC3 '!$F$83</definedName>
    <definedName name="Clocal_soil_leach_TIME3" localSheetId="11">'PT8-injection'!$E$89</definedName>
    <definedName name="Clocal_soil_leach_TIME3_fence" localSheetId="6">'PT8-treatd wood in service UC3 '!$F$179</definedName>
    <definedName name="Clocal_soil_leach_TIME3_house" localSheetId="6">'PT8-treatd wood in service UC3 '!$F$85</definedName>
    <definedName name="Clocal_soil_ss" localSheetId="2">'PT8-automated spraying'!$F$136</definedName>
    <definedName name="Clocal_soil_ss" localSheetId="3">'PT8-dipping_immersion processes'!$F$119</definedName>
    <definedName name="Clocal_soil_ss" localSheetId="4">'PT8-vacuum_double vacuum proc'!$F$121</definedName>
    <definedName name="Clocal_soil_TIME1_fence" localSheetId="6">'PT8-treatd wood in service UC3 '!$F$191</definedName>
    <definedName name="Clocal_soil_TIME1_Fpost" localSheetId="7">'PT8-treatd wood in service UC4a'!$F$161</definedName>
    <definedName name="Clocal_soil_TIME1_house" localSheetId="6">'PT8-treatd wood in service UC3 '!$F$97</definedName>
    <definedName name="Clocal_soil_TIME1_noise" localSheetId="6">'PT8-treatd wood in service UC3 '!$F$284</definedName>
    <definedName name="Clocal_soil_TIME1_tier1" localSheetId="14">'PT8-in-situ spraying'!$E$124</definedName>
    <definedName name="Clocal_soil_TIME1_tier2" localSheetId="14">'PT8-in-situ spraying'!$E$139</definedName>
    <definedName name="Clocal_soil_TIME1_Tpole" localSheetId="7">'PT8-treatd wood in service UC4a'!$F$81</definedName>
    <definedName name="Clocal_soil_TIME2_fence" localSheetId="6">'PT8-treatd wood in service UC3 '!$F$193</definedName>
    <definedName name="Clocal_soil_TIME2_Fpost" localSheetId="7">'PT8-treatd wood in service UC4a'!$F$163</definedName>
    <definedName name="Clocal_soil_TIME2_house" localSheetId="6">'PT8-treatd wood in service UC3 '!$F$99</definedName>
    <definedName name="Clocal_soil_TIME2_noise" localSheetId="6">'PT8-treatd wood in service UC3 '!$F$286</definedName>
    <definedName name="Clocal_soil_TIME2_tier1" localSheetId="14">'PT8-in-situ spraying'!$E$126</definedName>
    <definedName name="Clocal_soil_TIME2_tier2" localSheetId="14">'PT8-in-situ spraying'!$E$141</definedName>
    <definedName name="Clocal_soil_TIME2_Tpole" localSheetId="7">'PT8-treatd wood in service UC4a'!$F$83</definedName>
    <definedName name="Clocal_soil_TIME3_fence" localSheetId="6">'PT8-treatd wood in service UC3 '!$F$195</definedName>
    <definedName name="Clocal_soil_TIME3_Fpost" localSheetId="7">'PT8-treatd wood in service UC4a'!$F$165</definedName>
    <definedName name="Clocal_soil_TIME3_house" localSheetId="6">'PT8-treatd wood in service UC3 '!$F$101</definedName>
    <definedName name="Clocal_soil_TIME3_noise" localSheetId="6">'PT8-treatd wood in service UC3 '!$F$288</definedName>
    <definedName name="Clocal_soil_TIME3_tier1" localSheetId="14">'PT8-in-situ spraying'!$E$128</definedName>
    <definedName name="Clocal_soil_TIME3_tier2" localSheetId="14">'PT8-in-situ spraying'!$E$143</definedName>
    <definedName name="Clocal_soil_TIME3_Tpole" localSheetId="7">'PT8-treatd wood in service UC4a'!$F$85</definedName>
    <definedName name="Clocal_water_brush_bridge" localSheetId="5">'PT8-prof&amp;amateur in situ treatm'!$F$64</definedName>
    <definedName name="Clocal_water_brush_bridge" localSheetId="6">'PT8-treatd wood in service UC3 '!$F$318</definedName>
    <definedName name="Clocal_water_leach_TIME1_bridge" localSheetId="6">'PT8-treatd wood in service UC3 '!$F$376</definedName>
    <definedName name="Clocal_water_leach_TIME1_Fpost" localSheetId="7">'PT8-treatd wood in service UC4a'!$F$153</definedName>
    <definedName name="Clocal_water_leach_TIME1_jetty" localSheetId="8">'PT8-treatd wood in service UC4b'!$F$68</definedName>
    <definedName name="Clocal_water_leach_TIME1_Tpole" localSheetId="7">'PT8-treatd wood in service UC4a'!$F$73</definedName>
    <definedName name="Clocal_water_leach_TIME2_bridge" localSheetId="6">'PT8-treatd wood in service UC3 '!$F$378</definedName>
    <definedName name="Clocal_water_leach_TIME2_Fpost" localSheetId="7">'PT8-treatd wood in service UC4a'!$F$155</definedName>
    <definedName name="Clocal_water_leach_TIME2_jetty" localSheetId="8">'PT8-treatd wood in service UC4b'!$F$70</definedName>
    <definedName name="Clocal_water_leach_TIME2_Tpole" localSheetId="7">'PT8-treatd wood in service UC4a'!$F$75</definedName>
    <definedName name="Clocal_water_leach_TIME3_bridge" localSheetId="6">'PT8-treatd wood in service UC3 '!$F$380</definedName>
    <definedName name="Clocal_water_leach_TIME3_Fpost" localSheetId="7">'PT8-treatd wood in service UC4a'!$F$157</definedName>
    <definedName name="Clocal_water_leach_TIME3_jetty" localSheetId="8">'PT8-treatd wood in service UC4b'!$F$72</definedName>
    <definedName name="Clocal_water_leach_TIME3_Tpole" localSheetId="7">'PT8-treatd wood in service UC4a'!$F$77</definedName>
    <definedName name="Clocalsoil_leach_TIME1" localSheetId="14">'PT8-in-situ spraying'!$E$108</definedName>
    <definedName name="Clocalsoil_leach_TIME2" localSheetId="14">'PT8-in-situ spraying'!$E$110</definedName>
    <definedName name="Clocalsoil_leach_TIME3" localSheetId="14">'PT8-in-situ spraying'!$E$112</definedName>
    <definedName name="Clocalsoil_runoff" localSheetId="14">'PT8-in-situ spraying'!$E$98</definedName>
    <definedName name="Clocalsoil_spray_drift_tier1" localSheetId="14">'PT8-in-situ spraying'!$E$100</definedName>
    <definedName name="Clocalsoil_spray_drift_tier2" localSheetId="14">'PT8-in-situ spraying'!$E$102</definedName>
    <definedName name="Clocalsoil_tier1" localSheetId="14">'PT8-in-situ spraying'!$E$104</definedName>
    <definedName name="Clocalsoil_tier2" localSheetId="14">'PT8-in-situ spraying'!$E$106</definedName>
    <definedName name="Clocalsoil_TIME1" localSheetId="11">'PT8-injection'!$E$101</definedName>
    <definedName name="Clocalsoil_time1" localSheetId="12">'PT8-wrapping'!$E$71</definedName>
    <definedName name="Clocalsoil_TIME2" localSheetId="11">'PT8-injection'!$E$103</definedName>
    <definedName name="Clocalsoil_time2" localSheetId="12">'PT8-wrapping'!$E$73</definedName>
    <definedName name="Clocalsoil_TIME3" localSheetId="11">'PT8-injection'!$E$105</definedName>
    <definedName name="Clocalsoil_time3" localSheetId="12">'PT8-wrapping'!$E$75</definedName>
    <definedName name="D__Bridge_over_pond_scenario" localSheetId="6">'PT8-treatd wood in service UC3 '!$B$301</definedName>
    <definedName name="DEPTHsoil" localSheetId="2">'PT8-automated spraying'!$F$88</definedName>
    <definedName name="DEPTHsoil" localSheetId="3">'PT8-dipping_immersion processes'!$F$71</definedName>
    <definedName name="DEPTHsoil" localSheetId="4">'PT8-vacuum_double vacuum proc'!$F$73</definedName>
    <definedName name="Distance">'Pick-lists &amp; Defaults'!$B$85:$B$90</definedName>
    <definedName name="Elocal_soil" localSheetId="2">'PT8-automated spraying'!$F$110</definedName>
    <definedName name="Elocal_soil" localSheetId="3">'PT8-dipping_immersion processes'!$F$93</definedName>
    <definedName name="Elocal_soil" localSheetId="4">'PT8-vacuum_double vacuum proc'!$F$95</definedName>
    <definedName name="Esoil_brush_fence" localSheetId="5">'PT8-prof&amp;amateur in situ treatm'!$F$56</definedName>
    <definedName name="Esoil_brush_fence" localSheetId="6">'PT8-treatd wood in service UC3 '!$F$115</definedName>
    <definedName name="Esoil_brush_house" localSheetId="5">'PT8-prof&amp;amateur in situ treatm'!$F$50</definedName>
    <definedName name="Esoil_inj" localSheetId="11">'PT8-injection'!$E$59</definedName>
    <definedName name="Esoil_leach__TIME1" localSheetId="11">'PT8-injection'!$E$70</definedName>
    <definedName name="Esoil_leach_TIME1" localSheetId="14">'PT8-in-situ spraying'!$E$86</definedName>
    <definedName name="Esoil_leach_TIME1" localSheetId="12">'PT8-wrapping'!$E$55</definedName>
    <definedName name="Esoil_leach_TIME1_fence" localSheetId="6">'PT8-treatd wood in service UC3 '!$F$167</definedName>
    <definedName name="Esoil_leach_TIME1_Fpost" localSheetId="7">'PT8-treatd wood in service UC4a'!$F$145</definedName>
    <definedName name="Esoil_leach_TIME1_house" localSheetId="6">'PT8-treatd wood in service UC3 '!$F$73</definedName>
    <definedName name="Esoil_leach_TIME1_noisebarrier" localSheetId="6">'PT8-treatd wood in service UC3 '!$F$259</definedName>
    <definedName name="Esoil_leach_TIME1_Tpole" localSheetId="7">'PT8-treatd wood in service UC4a'!$F$65</definedName>
    <definedName name="Esoil_leach_TIME2" localSheetId="11">'PT8-injection'!$E$72</definedName>
    <definedName name="Esoil_leach_TIME2" localSheetId="14">'PT8-in-situ spraying'!$E$88</definedName>
    <definedName name="Esoil_leach_TIME2" localSheetId="12">'PT8-wrapping'!$E$57</definedName>
    <definedName name="Esoil_leach_TIME2_fence" localSheetId="6">'PT8-treatd wood in service UC3 '!$F$169</definedName>
    <definedName name="Esoil_leach_TIME2_Fpost" localSheetId="7">'PT8-treatd wood in service UC4a'!$F$147</definedName>
    <definedName name="Esoil_leach_TIME2_house" localSheetId="6">'PT8-treatd wood in service UC3 '!$F$75</definedName>
    <definedName name="Esoil_leach_TIME2_noisebarrier" localSheetId="6">'PT8-treatd wood in service UC3 '!$F$261</definedName>
    <definedName name="Esoil_leach_TIME2_Tpole" localSheetId="7">'PT8-treatd wood in service UC4a'!$F$67</definedName>
    <definedName name="Esoil_leach_TIME3" localSheetId="11">'PT8-injection'!$E$74</definedName>
    <definedName name="Esoil_leach_TIME3" localSheetId="14">'PT8-in-situ spraying'!$E$90</definedName>
    <definedName name="Esoil_leach_TIME3" localSheetId="12">'PT8-wrapping'!$E$59</definedName>
    <definedName name="Esoil_leach_TIME3_fence" localSheetId="6">'PT8-treatd wood in service UC3 '!$F$171</definedName>
    <definedName name="Esoil_leach_TIME3_Fpost" localSheetId="7">'PT8-treatd wood in service UC4a'!$F$149</definedName>
    <definedName name="Esoil_leach_TIME3_house" localSheetId="6">'PT8-treatd wood in service UC3 '!$F$77</definedName>
    <definedName name="Esoil_leach_TIME3_noisebarrier" localSheetId="6">'PT8-treatd wood in service UC3 '!$F$263</definedName>
    <definedName name="Esoil_leach_TIME3_Tpole" localSheetId="7">'PT8-treatd wood in service UC4a'!$F$69</definedName>
    <definedName name="Esoil_runoff" localSheetId="14">'PT8-in-situ spraying'!$E$72</definedName>
    <definedName name="Esoil_spray_drift_tier1" localSheetId="14">'PT8-in-situ spraying'!$E$74</definedName>
    <definedName name="Esoil_spray_drift_tier2" localSheetId="14">'PT8-in-situ spraying'!$E$76</definedName>
    <definedName name="Ewater_brush_bridge" localSheetId="5">'PT8-prof&amp;amateur in situ treatm'!$F$62</definedName>
    <definedName name="Ewater_leach_TIME1" localSheetId="6">'PT8-treatd wood in service UC3 '!$F$368</definedName>
    <definedName name="Ewater_leach_TIME1" localSheetId="9">'PT8-treatd wood in service UC5'!$F$55</definedName>
    <definedName name="Ewater_leach_TIME1_jetty" localSheetId="8">'PT8-treatd wood in service UC4b'!$F$60</definedName>
    <definedName name="Ewater_leach_TIME1_SP" localSheetId="8">'PT8-treatd wood in service UC4b'!$F$130</definedName>
    <definedName name="Ewater_leach_TIME2" localSheetId="6">'PT8-treatd wood in service UC3 '!$F$370</definedName>
    <definedName name="Ewater_leach_TIME2" localSheetId="9">'PT8-treatd wood in service UC5'!$F$57</definedName>
    <definedName name="Ewater_leach_TIME2_jetty" localSheetId="8">'PT8-treatd wood in service UC4b'!$F$62</definedName>
    <definedName name="Ewater_leach_TIME2_SP" localSheetId="8">'PT8-treatd wood in service UC4b'!$F$132</definedName>
    <definedName name="Ewater_leach_TIME3" localSheetId="6">'PT8-treatd wood in service UC3 '!$F$372</definedName>
    <definedName name="Ewater_leach_TIME3" localSheetId="9">'PT8-treatd wood in service UC5'!$F$59</definedName>
    <definedName name="Ewater_leach_TIME3_jetty" localSheetId="8">'PT8-treatd wood in service UC4b'!$F$64</definedName>
    <definedName name="Ewater_leach_TIME3_SP" localSheetId="8">'PT8-treatd wood in service UC4b'!$F$134</definedName>
    <definedName name="F_air" localSheetId="2">'PT8-automated spraying'!$F$47</definedName>
    <definedName name="F_facilitydrain" localSheetId="2">'PT8-automated spraying'!$F$45</definedName>
    <definedName name="F_Koc_post" localSheetId="13">'PT8-termite control'!$F$142</definedName>
    <definedName name="F_Koc_prev" localSheetId="13">'PT8-termite control'!$F$63</definedName>
    <definedName name="F_runoff_post" localSheetId="13">'PT8-termite control'!$F$140</definedName>
    <definedName name="F_runoff_prev" localSheetId="13">'PT8-termite control'!$F$61</definedName>
    <definedName name="fai" localSheetId="10">'PT8-indoor fumigation'!$F$23</definedName>
    <definedName name="fai" localSheetId="14">'PT8-in-situ spraying'!$E$28</definedName>
    <definedName name="fai" localSheetId="5">'PT8-prof&amp;amateur in situ treatm'!$F$30</definedName>
    <definedName name="fai_inj" localSheetId="11">'PT8-injection'!$E$25</definedName>
    <definedName name="fai_post" localSheetId="13">'PT8-termite control'!$F$105</definedName>
    <definedName name="fai_prev" localSheetId="13">'PT8-termite control'!$F$29</definedName>
    <definedName name="Fair" localSheetId="3">'PT8-dipping_immersion processes'!$F$34</definedName>
    <definedName name="Fair" localSheetId="4">'PT8-vacuum_double vacuum proc'!$F$35</definedName>
    <definedName name="Fapplic_post" localSheetId="13">'PT8-termite control'!$F$123</definedName>
    <definedName name="Fapplic_prev" localSheetId="13">'PT8-termite control'!$F$47</definedName>
    <definedName name="Fbrush" localSheetId="5">'PT8-prof&amp;amateur in situ treatm'!$F$34</definedName>
    <definedName name="Fdep" localSheetId="14">'PT8-in-situ spraying'!$E$36</definedName>
    <definedName name="Fdis" localSheetId="10">'PT8-indoor fumigation'!$F$31</definedName>
    <definedName name="Fdrift" localSheetId="2">'PT8-automated spraying'!$F$49</definedName>
    <definedName name="Fdrift" localSheetId="14">'PT8-in-situ spraying'!$E$32</definedName>
    <definedName name="Ffacilitydrain" localSheetId="3">'PT8-dipping_immersion processes'!$F$32</definedName>
    <definedName name="Ffacilitydrain" localSheetId="4">'PT8-vacuum_double vacuum proc'!$F$33</definedName>
    <definedName name="FLOWsurfacewater" localSheetId="2">'PT8-automated spraying'!$F$92</definedName>
    <definedName name="FLOWsurfacewater" localSheetId="3">'PT8-dipping_immersion processes'!$F$75</definedName>
    <definedName name="FLOWsurfacewater" localSheetId="4">'PT8-vacuum_double vacuum proc'!$F$77</definedName>
    <definedName name="FLUXstorage_dipp" localSheetId="3">'PT8-dipping_immersion processes'!$F$67</definedName>
    <definedName name="FLUXstorage_spray" localSheetId="2">'PT8-automated spraying'!$F$84</definedName>
    <definedName name="FLUXstorage_vac_pres" localSheetId="4">'PT8-vacuum_double vacuum proc'!$F$69</definedName>
    <definedName name="Foc_susp" localSheetId="6">'PT8-treatd wood in service UC3 '!$F$353</definedName>
    <definedName name="Fret" localSheetId="10">'PT8-indoor fumigation'!$F$29</definedName>
    <definedName name="Frunoff" localSheetId="2">'PT8-automated spraying'!$F$90</definedName>
    <definedName name="Frunoff" localSheetId="3">'PT8-dipping_immersion processes'!$F$73</definedName>
    <definedName name="Frunoff" localSheetId="14">'PT8-in-situ spraying'!$E$34</definedName>
    <definedName name="Frunoff" localSheetId="4">'PT8-vacuum_double vacuum proc'!$F$75</definedName>
    <definedName name="Fsoil_inj" localSheetId="11">'PT8-injection'!$E$29</definedName>
    <definedName name="Fsoil_noisebarrier" localSheetId="6">'PT8-treatd wood in service UC3 '!$F$238</definedName>
    <definedName name="FSTP_noisebarrier" localSheetId="6">'PT8-treatd wood in service UC3 '!$F$240</definedName>
    <definedName name="Fumigation_Volume">'Pick-lists &amp; Defaults'!$B$57:$B$60</definedName>
    <definedName name="k_soil" localSheetId="11">'PT8-injection'!$E$51</definedName>
    <definedName name="k_soil" localSheetId="14">'PT8-in-situ spraying'!$E$64</definedName>
    <definedName name="k_soil" localSheetId="6">'PT8-treatd wood in service UC3 '!$F$61</definedName>
    <definedName name="k_soil" localSheetId="12">'PT8-wrapping'!$E$43</definedName>
    <definedName name="k_water" localSheetId="6">'PT8-treatd wood in service UC3 '!$F$338</definedName>
    <definedName name="Koc" localSheetId="6">'PT8-treatd wood in service UC3 '!$F$351</definedName>
    <definedName name="Koc">'Pick-lists &amp; Defaults'!$B$94:$B$98</definedName>
    <definedName name="Kp_susp" localSheetId="6">'PT8-treatd wood in service UC3 '!$F$346</definedName>
    <definedName name="Ksed_water" localSheetId="6">'PT8-treatd wood in service UC3 '!$F$342</definedName>
    <definedName name="ksoil" localSheetId="2">'PT8-automated spraying'!$F$96</definedName>
    <definedName name="ksoil" localSheetId="3">'PT8-dipping_immersion processes'!$F$79</definedName>
    <definedName name="ksoil" localSheetId="4">'PT8-vacuum_double vacuum proc'!$F$81</definedName>
    <definedName name="ksoil_Fpost" localSheetId="7">'PT8-treatd wood in service UC4a'!$F$133</definedName>
    <definedName name="ksoil_Tpole" localSheetId="7">'PT8-treatd wood in service UC4a'!$F$53</definedName>
    <definedName name="Ksoil_water" localSheetId="3">'PT8-dipping_immersion processes'!$F$81</definedName>
    <definedName name="Ksoil_water" localSheetId="11">'PT8-injection'!$E$49</definedName>
    <definedName name="Ksoil_water" localSheetId="14">'PT8-in-situ spraying'!$E$62</definedName>
    <definedName name="Ksoil_water" localSheetId="6">'PT8-treatd wood in service UC3 '!$F$59</definedName>
    <definedName name="Ksoil_water" localSheetId="4">'PT8-vacuum_double vacuum proc'!$F$83</definedName>
    <definedName name="Ksoil_water" localSheetId="12">'PT8-wrapping'!$E$41</definedName>
    <definedName name="Ksoil_water_Fpost" localSheetId="7">'PT8-treatd wood in service UC4a'!$F$131</definedName>
    <definedName name="Ksoil_water_Tpole" localSheetId="7">'PT8-treatd wood in service UC4a'!$F$51</definedName>
    <definedName name="Ksoilwater" localSheetId="2">'PT8-automated spraying'!$F$98</definedName>
    <definedName name="kwater" localSheetId="9">'PT8-treatd wood in service UC5'!$F$43</definedName>
    <definedName name="kwater_jetty" localSheetId="8">'PT8-treatd wood in service UC4b'!$F$48</definedName>
    <definedName name="kwater_SP" localSheetId="8">'PT8-treatd wood in service UC4b'!$F$118</definedName>
    <definedName name="LowP_process">'Pick-lists &amp; Defaults'!$B$39:$B$41</definedName>
    <definedName name="method_process_TIER2">'Pick-lists &amp; Defaults'!$B$126:$B$130</definedName>
    <definedName name="Ndock" localSheetId="16">'PT8-dock and deck-fence'!$F$30</definedName>
    <definedName name="Nhouse" localSheetId="16">'PT8-dock and deck-fence'!$F$79</definedName>
    <definedName name="Nsleepers" localSheetId="15">'PT8-railway sleepers'!$E$23</definedName>
    <definedName name="plant_size">'Pick-lists &amp; Defaults'!$B$8:$B$10</definedName>
    <definedName name="product">'Pick-lists &amp; Defaults'!$B$14:$B$16</definedName>
    <definedName name="prof_amateur">'Pick-lists &amp; Defaults'!$B$48:$B$50</definedName>
    <definedName name="Q_leach_TIME1" localSheetId="11">'PT8-injection'!$E$37</definedName>
    <definedName name="Q_leach_TIME1" localSheetId="14">'PT8-in-situ spraying'!$E$52</definedName>
    <definedName name="Q_leach_TIME1" localSheetId="15">'PT8-railway sleepers'!$E$31</definedName>
    <definedName name="Q_leach_TIME1" localSheetId="9">'PT8-treatd wood in service UC5'!$F$31</definedName>
    <definedName name="Q_leach_TIME1" localSheetId="12">'PT8-wrapping'!$E$29</definedName>
    <definedName name="Q_leach_TIME1_bridge" localSheetId="6">'PT8-treatd wood in service UC3 '!$F$328</definedName>
    <definedName name="Q_leach_TIME1_deck_fence" localSheetId="16">'PT8-dock and deck-fence'!$F$87</definedName>
    <definedName name="Q_leach_TIME1_dock" localSheetId="16">'PT8-dock and deck-fence'!$F$38</definedName>
    <definedName name="Q_leach_TIME1_fence" localSheetId="6">'PT8-treatd wood in service UC3 '!$F$141</definedName>
    <definedName name="Q_leach_TIME1_Fpost" localSheetId="7">'PT8-treatd wood in service UC4a'!$F$119</definedName>
    <definedName name="Q_leach_TIME1_house" localSheetId="6">'PT8-treatd wood in service UC3 '!$F$47</definedName>
    <definedName name="Q_leach_TIME1_jetty" localSheetId="8">'PT8-treatd wood in service UC4b'!$F$38</definedName>
    <definedName name="Q_leach_TIME1_noisebarrier" localSheetId="6">'PT8-treatd wood in service UC3 '!$F$228</definedName>
    <definedName name="Q_leach_TIME1_SP" localSheetId="8">'PT8-treatd wood in service UC4b'!$F$106</definedName>
    <definedName name="Q_leach_TIME1_Tpole" localSheetId="7">'PT8-treatd wood in service UC4a'!$F$39</definedName>
    <definedName name="Q_leach_TIME2" localSheetId="11">'PT8-injection'!$E$39</definedName>
    <definedName name="Q_leach_TIME2" localSheetId="14">'PT8-in-situ spraying'!$E$54</definedName>
    <definedName name="Q_leach_TIME2" localSheetId="15">'PT8-railway sleepers'!$E$33</definedName>
    <definedName name="Q_leach_TIME2" localSheetId="9">'PT8-treatd wood in service UC5'!$F$33</definedName>
    <definedName name="Q_leach_TIME2" localSheetId="12">'PT8-wrapping'!$E$31</definedName>
    <definedName name="Q_leach_TIME2_bridge" localSheetId="6">'PT8-treatd wood in service UC3 '!$F$330</definedName>
    <definedName name="Q_leach_TIME2_deck_fence" localSheetId="16">'PT8-dock and deck-fence'!$F$89</definedName>
    <definedName name="Q_leach_TIME2_dock" localSheetId="16">'PT8-dock and deck-fence'!$F$40</definedName>
    <definedName name="Q_leach_TIME2_fence" localSheetId="6">'PT8-treatd wood in service UC3 '!$F$143</definedName>
    <definedName name="Q_leach_TIME2_Fpost" localSheetId="7">'PT8-treatd wood in service UC4a'!$F$121</definedName>
    <definedName name="Q_leach_TIME2_house" localSheetId="6">'PT8-treatd wood in service UC3 '!$F$49</definedName>
    <definedName name="Q_leach_TIME2_jetty" localSheetId="8">'PT8-treatd wood in service UC4b'!$F$40</definedName>
    <definedName name="Q_leach_TIME2_noisebarrier" localSheetId="6">'PT8-treatd wood in service UC3 '!$F$230</definedName>
    <definedName name="Q_leach_TIME2_SP" localSheetId="8">'PT8-treatd wood in service UC4b'!$F$108</definedName>
    <definedName name="Q_leach_TIME2_Tpole" localSheetId="7">'PT8-treatd wood in service UC4a'!$F$41</definedName>
    <definedName name="Q_leach_TIME3" localSheetId="11">'PT8-injection'!$E$41</definedName>
    <definedName name="Q_leach_TIME3" localSheetId="14">'PT8-in-situ spraying'!$E$56</definedName>
    <definedName name="Q_leach_TIME3" localSheetId="15">'PT8-railway sleepers'!$E$35</definedName>
    <definedName name="Q_leach_TIME3" localSheetId="9">'PT8-treatd wood in service UC5'!$F$35</definedName>
    <definedName name="Q_leach_TIME3" localSheetId="12">'PT8-wrapping'!$E$33</definedName>
    <definedName name="Q_leach_TIME3_bridge" localSheetId="6">'PT8-treatd wood in service UC3 '!$F$332</definedName>
    <definedName name="Q_leach_TIME3_deck_fence" localSheetId="16">'PT8-dock and deck-fence'!$F$91</definedName>
    <definedName name="Q_leach_TIME3_dock" localSheetId="16">'PT8-dock and deck-fence'!$F$42</definedName>
    <definedName name="Q_leach_TIME3_fence" localSheetId="6">'PT8-treatd wood in service UC3 '!$F$145</definedName>
    <definedName name="Q_leach_TIME3_Fpost" localSheetId="7">'PT8-treatd wood in service UC4a'!$F$123</definedName>
    <definedName name="Q_leach_TIME3_house" localSheetId="6">'PT8-treatd wood in service UC3 '!$F$51</definedName>
    <definedName name="Q_leach_TIME3_jetty" localSheetId="8">'PT8-treatd wood in service UC4b'!$F$42</definedName>
    <definedName name="Q_leach_TIME3_noisebarrier" localSheetId="6">'PT8-treatd wood in service UC3 '!$F$232</definedName>
    <definedName name="Q_leach_TIME3_SP" localSheetId="8">'PT8-treatd wood in service UC4b'!$F$110</definedName>
    <definedName name="Q_leach_TIME3_Tpole" localSheetId="7">'PT8-treatd wood in service UC4a'!$F$43</definedName>
    <definedName name="QA_leach_time1" localSheetId="13">'PT8-termite control'!$F$135</definedName>
    <definedName name="QAapplic_product_post" localSheetId="13">'PT8-termite control'!$F$119</definedName>
    <definedName name="QAapplic_product_prev" localSheetId="13">'PT8-termite control'!$F$43</definedName>
    <definedName name="Qadj_house_soil" localSheetId="13">'PT8-termite control'!$F$83</definedName>
    <definedName name="Qadj_trench_soil" localSheetId="13">'PT8-termite control'!$F$161</definedName>
    <definedName name="Qai" localSheetId="2">'PT8-automated spraying'!$F$31</definedName>
    <definedName name="Qai" localSheetId="3">'PT8-dipping_immersion processes'!$F$30</definedName>
    <definedName name="Qai" localSheetId="4">'PT8-vacuum_double vacuum proc'!$F$31</definedName>
    <definedName name="QAleach_time1" localSheetId="13">'PT8-termite control'!$F$55</definedName>
    <definedName name="Qapplic_product" localSheetId="10">'PT8-indoor fumigation'!$F$21</definedName>
    <definedName name="Qapplic_product" localSheetId="14">'PT8-in-situ spraying'!$E$26</definedName>
    <definedName name="Qapplic_product" localSheetId="5">'PT8-prof&amp;amateur in situ treatm'!$F$28</definedName>
    <definedName name="Qapplic_product_inj" localSheetId="11">'PT8-injection'!$E$23</definedName>
    <definedName name="Qfoundation_soil" localSheetId="13">'PT8-termite control'!$F$75</definedName>
    <definedName name="Qleach_storage_TIME1" localSheetId="2">'PT8-automated spraying'!$F$106</definedName>
    <definedName name="Qleach_storage_TIME1" localSheetId="3">'PT8-dipping_immersion processes'!$F$89</definedName>
    <definedName name="Qleach_storage_TIME1" localSheetId="4">'PT8-vacuum_double vacuum proc'!$F$91</definedName>
    <definedName name="Qleach_storage_TIME2" localSheetId="2">'PT8-automated spraying'!$F$108</definedName>
    <definedName name="Qleach_storage_TIME2" localSheetId="3">'PT8-dipping_immersion processes'!$F$91</definedName>
    <definedName name="Qleach_storage_TIME2" localSheetId="4">'PT8-vacuum_double vacuum proc'!$F$93</definedName>
    <definedName name="Qleach_TIME1" localSheetId="14">'PT8-in-situ spraying'!$E$80</definedName>
    <definedName name="Qleach_TIME1_deck_fence" localSheetId="16">'PT8-dock and deck-fence'!$F$99</definedName>
    <definedName name="Qleach_TIME1_dock" localSheetId="16">'PT8-dock and deck-fence'!$F$50</definedName>
    <definedName name="Qleach_TIME2" localSheetId="14">'PT8-in-situ spraying'!$E$82</definedName>
    <definedName name="Qleach_TIME2_deck_fence" localSheetId="16">'PT8-dock and deck-fence'!$F$101</definedName>
    <definedName name="Qleach_TIME2_dock" localSheetId="16">'PT8-dock and deck-fence'!$F$52</definedName>
    <definedName name="Qleach_TIME3" localSheetId="14">'PT8-in-situ spraying'!$E$84</definedName>
    <definedName name="Qleach_TIME3_deck_fence" localSheetId="16">'PT8-dock and deck-fence'!$F$103</definedName>
    <definedName name="Qleach_TIME3_dock" localSheetId="16">'PT8-dock and deck-fence'!$F$54</definedName>
    <definedName name="QleachTIME1" localSheetId="11">'PT8-injection'!$E$64</definedName>
    <definedName name="QleachTIME1" localSheetId="9">'PT8-treatd wood in service UC5'!$F$49</definedName>
    <definedName name="QleachTIME1" localSheetId="12">'PT8-wrapping'!$E$49</definedName>
    <definedName name="QleachTIME1_bridge" localSheetId="6">'PT8-treatd wood in service UC3 '!$F$362</definedName>
    <definedName name="QleachTIME1_fence" localSheetId="6">'PT8-treatd wood in service UC3 '!$F$161</definedName>
    <definedName name="QleachTIME1_Fpost" localSheetId="7">'PT8-treatd wood in service UC4a'!$F$139</definedName>
    <definedName name="QleachTIME1_house" localSheetId="6">'PT8-treatd wood in service UC3 '!$F$67</definedName>
    <definedName name="QleachTIME1_jetty" localSheetId="8">'PT8-treatd wood in service UC4b'!$F$54</definedName>
    <definedName name="QleachTIME1_noisebarrier" localSheetId="6">'PT8-treatd wood in service UC3 '!$F$252</definedName>
    <definedName name="QleachTIME1_SP" localSheetId="8">'PT8-treatd wood in service UC4b'!$F$124</definedName>
    <definedName name="QleachTIME1_Tpole" localSheetId="7">'PT8-treatd wood in service UC4a'!$F$59</definedName>
    <definedName name="QleachTIME2" localSheetId="11">'PT8-injection'!$E$66</definedName>
    <definedName name="QleachTIME2" localSheetId="9">'PT8-treatd wood in service UC5'!$F$51</definedName>
    <definedName name="QleachTIME2" localSheetId="12">'PT8-wrapping'!$E$51</definedName>
    <definedName name="QleachTIME2_bridge" localSheetId="6">'PT8-treatd wood in service UC3 '!$F$364</definedName>
    <definedName name="QleachTIME2_fence" localSheetId="6">'PT8-treatd wood in service UC3 '!$F$163</definedName>
    <definedName name="QleachTIME2_Fpost" localSheetId="7">'PT8-treatd wood in service UC4a'!$F$141</definedName>
    <definedName name="QleachTIME2_house" localSheetId="6">'PT8-treatd wood in service UC3 '!$F$69</definedName>
    <definedName name="QleachTIME2_jetty" localSheetId="8">'PT8-treatd wood in service UC4b'!$F$56</definedName>
    <definedName name="QleachTIME2_noisebarrier" localSheetId="6">'PT8-treatd wood in service UC3 '!$F$254</definedName>
    <definedName name="QleachTIME2_SP" localSheetId="8">'PT8-treatd wood in service UC4b'!$F$126</definedName>
    <definedName name="QleachTIME2_Tpole" localSheetId="7">'PT8-treatd wood in service UC4a'!$F$61</definedName>
    <definedName name="QleachTIME3" localSheetId="11">'PT8-injection'!$E$68</definedName>
    <definedName name="QleachTIME3" localSheetId="9">'PT8-treatd wood in service UC5'!$F$53</definedName>
    <definedName name="QleachTIME3" localSheetId="12">'PT8-wrapping'!$E$53</definedName>
    <definedName name="QleachTIME3_bridge" localSheetId="6">'PT8-treatd wood in service UC3 '!$F$366</definedName>
    <definedName name="QleachTIME3_fence" localSheetId="6">'PT8-treatd wood in service UC3 '!$F$165</definedName>
    <definedName name="QleachTIME3_Fpost" localSheetId="7">'PT8-treatd wood in service UC4a'!$F$143</definedName>
    <definedName name="QleachTIME3_house" localSheetId="6">'PT8-treatd wood in service UC3 '!$F$71</definedName>
    <definedName name="QleachTIME3_jetty" localSheetId="8">'PT8-treatd wood in service UC4b'!$F$58</definedName>
    <definedName name="QleachTIME3_noisebarrier" localSheetId="6">'PT8-treatd wood in service UC3 '!$F$256</definedName>
    <definedName name="QleachTIME3_SP" localSheetId="8">'PT8-treatd wood in service UC4b'!$F$128</definedName>
    <definedName name="QleachTIME3_Tpole" localSheetId="7">'PT8-treatd wood in service UC4a'!$F$63</definedName>
    <definedName name="Qproduct" localSheetId="2">'PT8-automated spraying'!$F$36</definedName>
    <definedName name="Qtrench_soil" localSheetId="13">'PT8-termite control'!$F$154</definedName>
    <definedName name="QV_leach_time1" localSheetId="13">'PT8-termite control'!$F$136</definedName>
    <definedName name="QVapplic_product_post" localSheetId="13">'PT8-termite control'!$F$121</definedName>
    <definedName name="QVapplic_product_prev" localSheetId="13">'PT8-termite control'!$F$45</definedName>
    <definedName name="RHOproduct" localSheetId="2">'PT8-automated spraying'!$F$40</definedName>
    <definedName name="RHOproduct" localSheetId="14">'PT8-in-situ spraying'!$E$30</definedName>
    <definedName name="RHOproduct" localSheetId="5">'PT8-prof&amp;amateur in situ treatm'!$F$32</definedName>
    <definedName name="RHOproduct_inj" localSheetId="11">'PT8-injection'!$E$27</definedName>
    <definedName name="RHOproduct_post" localSheetId="13">'PT8-termite control'!$F$107</definedName>
    <definedName name="RHOproduct_prev" localSheetId="13">'PT8-termite control'!$F$31</definedName>
    <definedName name="RHOsoil" localSheetId="2">'PT8-automated spraying'!$F$86</definedName>
    <definedName name="RHOsoil" localSheetId="3">'PT8-dipping_immersion processes'!$F$69</definedName>
    <definedName name="RHOsoil" localSheetId="11">'PT8-injection'!$E$45</definedName>
    <definedName name="RHOsoil" localSheetId="14">'PT8-in-situ spraying'!$E$20</definedName>
    <definedName name="RHOsoil" localSheetId="5">'PT8-prof&amp;amateur in situ treatm'!$F$40</definedName>
    <definedName name="RHOsoil" localSheetId="4">'PT8-vacuum_double vacuum proc'!$F$71</definedName>
    <definedName name="RHOsoil" localSheetId="12">'PT8-wrapping'!$E$37</definedName>
    <definedName name="RHOsoil_fence" localSheetId="6">'PT8-treatd wood in service UC3 '!$F$149</definedName>
    <definedName name="RHOsoil_Fpost" localSheetId="7">'PT8-treatd wood in service UC4a'!$F$127</definedName>
    <definedName name="RHOsoil_house" localSheetId="6">'PT8-treatd wood in service UC3 '!$F$55</definedName>
    <definedName name="RHOsoil_noisebarrier" localSheetId="6">'PT8-treatd wood in service UC3 '!$F$236</definedName>
    <definedName name="RHOsoil_post" localSheetId="13">'PT8-termite control'!$F$109</definedName>
    <definedName name="RHOsoil_prev" localSheetId="13">'PT8-termite control'!$F$33</definedName>
    <definedName name="RHOsoil_Tpole" localSheetId="7">'PT8-treatd wood in service UC4a'!$F$47</definedName>
    <definedName name="SUSPwater" localSheetId="6">'PT8-treatd wood in service UC3 '!$F$344</definedName>
    <definedName name="TAU_wway" localSheetId="8">'PT8-treatd wood in service UC4b'!$F$114</definedName>
    <definedName name="TAUseawater" localSheetId="9">'PT8-treatd wood in service UC5'!$F$39</definedName>
    <definedName name="TIME_applic_post" localSheetId="13">'PT8-termite control'!$F$125</definedName>
    <definedName name="TIME_applic_prev" localSheetId="13">'PT8-termite control'!$F$49</definedName>
    <definedName name="TIME_service_life_post" localSheetId="13">'PT8-termite control'!$F$138</definedName>
    <definedName name="TIME_service_life_prev" localSheetId="13">'PT8-termite control'!$F$57</definedName>
    <definedName name="TIME1" localSheetId="2">'PT8-automated spraying'!$F$80</definedName>
    <definedName name="TIME1" localSheetId="3">'PT8-dipping_immersion processes'!$F$63</definedName>
    <definedName name="TIME1" localSheetId="11">'PT8-injection'!$E$31</definedName>
    <definedName name="TIME1" localSheetId="14">'PT8-in-situ spraying'!$E$46</definedName>
    <definedName name="TIME1" localSheetId="15">'PT8-railway sleepers'!$E$25</definedName>
    <definedName name="TIME1" localSheetId="9">'PT8-treatd wood in service UC5'!$F$25</definedName>
    <definedName name="TIME1" localSheetId="4">'PT8-vacuum_double vacuum proc'!$F$65</definedName>
    <definedName name="TIME1" localSheetId="12">'PT8-wrapping'!$E$23</definedName>
    <definedName name="TIME1_bridge" localSheetId="6">'PT8-treatd wood in service UC3 '!$F$322</definedName>
    <definedName name="TIME1_deck_fence" localSheetId="7">'PT8-dock and deck-fence'!$F$81</definedName>
    <definedName name="TIME1_dock" localSheetId="16">'PT8-dock and deck-fence'!$F$32</definedName>
    <definedName name="TIME1_fence" localSheetId="6">'PT8-treatd wood in service UC3 '!$F$135</definedName>
    <definedName name="TIME1_Fpost" localSheetId="7">'PT8-treatd wood in service UC4a'!$F$113</definedName>
    <definedName name="TIME1_house" localSheetId="6">'PT8-treatd wood in service UC3 '!$F$41</definedName>
    <definedName name="TIME1_house">'PT8-treatd wood in service UC3 '!$F$43</definedName>
    <definedName name="TIME1_jetty" localSheetId="8">'PT8-treatd wood in service UC4b'!$F$32</definedName>
    <definedName name="TIME1_noisebarrier" localSheetId="6">'PT8-treatd wood in service UC3 '!$F$222</definedName>
    <definedName name="TIME1_SP" localSheetId="8">'PT8-treatd wood in service UC4b'!$F$100</definedName>
    <definedName name="TIME1_Tpole" localSheetId="7">'PT8-treatd wood in service UC4a'!$F$33</definedName>
    <definedName name="TIME2" localSheetId="2">'PT8-automated spraying'!$F$82</definedName>
    <definedName name="TIME2" localSheetId="3">'PT8-dipping_immersion processes'!$F$65</definedName>
    <definedName name="TIME2" localSheetId="11">'PT8-injection'!$E$33</definedName>
    <definedName name="TIME2" localSheetId="14">'PT8-in-situ spraying'!$E$48</definedName>
    <definedName name="TIME2" localSheetId="15">'PT8-railway sleepers'!$E$27</definedName>
    <definedName name="TIME2" localSheetId="9">'PT8-treatd wood in service UC5'!$F$27</definedName>
    <definedName name="TIME2" localSheetId="4">'PT8-vacuum_double vacuum proc'!$F$67</definedName>
    <definedName name="TIME2" localSheetId="12">'PT8-wrapping'!$E$25</definedName>
    <definedName name="TIME2_bridge" localSheetId="6">'PT8-treatd wood in service UC3 '!$F$324</definedName>
    <definedName name="TIME2_dock" localSheetId="16">'PT8-dock and deck-fence'!$F$34</definedName>
    <definedName name="TIME2_fence" localSheetId="6">'PT8-treatd wood in service UC3 '!$F$137</definedName>
    <definedName name="TIME2_Fpost" localSheetId="7">'PT8-treatd wood in service UC4a'!$F$115</definedName>
    <definedName name="TIME2_house" localSheetId="6">'PT8-treatd wood in service UC3 '!$F$43</definedName>
    <definedName name="TIME2_jetty" localSheetId="8">'PT8-treatd wood in service UC4b'!$F$34</definedName>
    <definedName name="TIME2_noisebarrier" localSheetId="6">'PT8-treatd wood in service UC3 '!$F$224</definedName>
    <definedName name="TIME2_SP" localSheetId="8">'PT8-treatd wood in service UC4b'!$F$102</definedName>
    <definedName name="TIME2_Tpole" localSheetId="7">'PT8-treatd wood in service UC4a'!$F$35</definedName>
    <definedName name="TIME3" localSheetId="11">'PT8-injection'!$E$35</definedName>
    <definedName name="TIME3" localSheetId="14">'PT8-in-situ spraying'!$E$50</definedName>
    <definedName name="TIME3" localSheetId="15">'PT8-railway sleepers'!$E$29</definedName>
    <definedName name="TIME3" localSheetId="9">'PT8-treatd wood in service UC5'!$F$29</definedName>
    <definedName name="TIME3" localSheetId="12">'PT8-wrapping'!$E$27</definedName>
    <definedName name="TIME3_bridge" localSheetId="6">'PT8-treatd wood in service UC3 '!$F$326</definedName>
    <definedName name="TIME3_deck_fence" localSheetId="16">'PT8-dock and deck-fence'!$F$85</definedName>
    <definedName name="TIME3_dock" localSheetId="16">'PT8-dock and deck-fence'!$F$36</definedName>
    <definedName name="TIME3_fence" localSheetId="6">'PT8-treatd wood in service UC3 '!$F$139</definedName>
    <definedName name="TIME3_Fpost" localSheetId="7">'PT8-treatd wood in service UC4a'!$F$117</definedName>
    <definedName name="TIME3_house" localSheetId="6">'PT8-treatd wood in service UC3 '!$F$45</definedName>
    <definedName name="TIME3_jetty" localSheetId="8">'PT8-treatd wood in service UC4b'!$F$36</definedName>
    <definedName name="TIME3_noisebarrier" localSheetId="6">'PT8-treatd wood in service UC3 '!$F$226</definedName>
    <definedName name="TIME3_SP" localSheetId="8">'PT8-treatd wood in service UC4b'!$F$104</definedName>
    <definedName name="TIME3_Tpole" localSheetId="7">'PT8-treatd wood in service UC4a'!$F$37</definedName>
    <definedName name="TOTAL_product_applic_post" localSheetId="13">'PT8-termite control'!$F$150</definedName>
    <definedName name="TOTALproduct_applic" localSheetId="13">'PT8-termite control'!$F$71</definedName>
    <definedName name="TOTALproduct_leach_post" localSheetId="13">'PT8-termite control'!$F$159</definedName>
    <definedName name="TOTALproduct_leach_prev" localSheetId="13">'PT8-termite control'!$F$81</definedName>
    <definedName name="Trelease" localSheetId="10">'PT8-indoor fumigation'!$F$25</definedName>
    <definedName name="Units">'Pick-lists &amp; Defaults'!$B$66:$B$68</definedName>
    <definedName name="vapour_pressure">'Pick-lists &amp; Defaults'!$B$29:$B$35</definedName>
    <definedName name="Vfumigated" localSheetId="10">'PT8-indoor fumigation'!$F$27</definedName>
    <definedName name="VOLUME_adj_prev_sv" localSheetId="13">'PT8-termite control'!$F$59</definedName>
    <definedName name="Volume_wood_treated" localSheetId="4">'PT8-vacuum_double vacuum proc'!$F$29</definedName>
    <definedName name="VOLUMEadjtrench_soil" localSheetId="13">'PT8-termite control'!$F$133</definedName>
    <definedName name="VOLUMEtreated_interiorsoil_post" localSheetId="13">'PT8-termite control'!$F$115</definedName>
    <definedName name="VOLUMEtreated_interiorsoil_prev" localSheetId="13">'PT8-termite control'!$F$39</definedName>
    <definedName name="VOLUMEtreated_soil_total_post" localSheetId="13">'PT8-termite control'!$F$117</definedName>
    <definedName name="VOLUMEtreated_soil_total_prev" localSheetId="13">'PT8-termite control'!$F$41</definedName>
    <definedName name="VOLUMEtreated_trench" localSheetId="13">'PT8-termite control'!$F$131</definedName>
    <definedName name="VOLUMEwood_treated" localSheetId="3">'PT8-dipping_immersion processes'!$F$28</definedName>
    <definedName name="VP_termite">'Pick-lists &amp; Defaults'!$B$75:$B$81</definedName>
    <definedName name="Vsed" localSheetId="6">'PT8-treatd wood in service UC3 '!$F$340</definedName>
    <definedName name="Vsoil" localSheetId="2">'PT8-automated spraying'!$F$104</definedName>
    <definedName name="Vsoil" localSheetId="3">'PT8-dipping_immersion processes'!$F$87</definedName>
    <definedName name="Vsoil" localSheetId="11">'PT8-injection'!$E$43</definedName>
    <definedName name="Vsoil" localSheetId="14">'PT8-in-situ spraying'!$E$58</definedName>
    <definedName name="Vsoil" localSheetId="4">'PT8-vacuum_double vacuum proc'!$F$89</definedName>
    <definedName name="Vsoil" localSheetId="12">'PT8-wrapping'!$E$35</definedName>
    <definedName name="Vsoil_drift_tier2" localSheetId="14">'PT8-in-situ spraying'!$E$40</definedName>
    <definedName name="Vsoil_fence" localSheetId="5">'PT8-prof&amp;amateur in situ treatm'!$F$38</definedName>
    <definedName name="Vsoil_fence" localSheetId="6">'PT8-treatd wood in service UC3 '!$F$147</definedName>
    <definedName name="Vsoil_Fpost" localSheetId="7">'PT8-treatd wood in service UC4a'!$F$125</definedName>
    <definedName name="Vsoil_house" localSheetId="5">'PT8-prof&amp;amateur in situ treatm'!$F$37</definedName>
    <definedName name="Vsoil_house" localSheetId="6">'PT8-treatd wood in service UC3 '!$F$53</definedName>
    <definedName name="Vsoil_noisebarrier" localSheetId="6">'PT8-treatd wood in service UC3 '!$F$234</definedName>
    <definedName name="Vsoil_runoff_drift_tier1" localSheetId="14">'PT8-in-situ spraying'!$E$38</definedName>
    <definedName name="Vsoil_Tpole" localSheetId="7">'PT8-treatd wood in service UC4a'!$F$45</definedName>
    <definedName name="Vwater" localSheetId="5">'PT8-prof&amp;amateur in situ treatm'!$F$42</definedName>
    <definedName name="Vwater" localSheetId="9">'PT8-treatd wood in service UC5'!$F$37</definedName>
    <definedName name="Vwater_bridge" localSheetId="6">'PT8-treatd wood in service UC3 '!$F$334</definedName>
    <definedName name="Vwater_deck_fence" localSheetId="16">'PT8-dock and deck-fence'!$F$93</definedName>
    <definedName name="Vwater_dock" localSheetId="16">'PT8-dock and deck-fence'!$F$44</definedName>
    <definedName name="Vwater_jetty" localSheetId="8">'PT8-treatd wood in service UC4b'!$F$44</definedName>
    <definedName name="Vwater_SP" localSheetId="8">'PT8-treatd wood in service UC4b'!$F$112</definedName>
    <definedName name="water_solubility">'Pick-lists &amp; Defaults'!$B$20:$B$25</definedName>
    <definedName name="YesNo">'Pick-lists &amp; Defaults'!$B$112:$B$113</definedName>
  </definedNames>
  <calcPr calcId="152511"/>
</workbook>
</file>

<file path=xl/calcChain.xml><?xml version="1.0" encoding="utf-8"?>
<calcChain xmlns="http://schemas.openxmlformats.org/spreadsheetml/2006/main">
  <c r="E90" i="56" l="1"/>
  <c r="E88" i="56"/>
  <c r="E86" i="56"/>
  <c r="E84" i="56"/>
  <c r="E112" i="56" s="1"/>
  <c r="E82" i="56"/>
  <c r="E110" i="56" s="1"/>
  <c r="E80" i="56"/>
  <c r="E108" i="56" s="1"/>
  <c r="E76" i="56"/>
  <c r="E102" i="56" s="1"/>
  <c r="E106" i="56" s="1"/>
  <c r="E74" i="56"/>
  <c r="E100" i="56" s="1"/>
  <c r="E72" i="56"/>
  <c r="E98" i="56" s="1"/>
  <c r="E104" i="56" l="1"/>
  <c r="E116" i="56" s="1"/>
  <c r="E139" i="56"/>
  <c r="E145" i="56" s="1"/>
  <c r="E143" i="56"/>
  <c r="E149" i="56" s="1"/>
  <c r="E141" i="56"/>
  <c r="E147" i="56" s="1"/>
  <c r="E126" i="56" l="1"/>
  <c r="E132" i="56" s="1"/>
  <c r="E118" i="56"/>
  <c r="E124" i="56"/>
  <c r="E130" i="56" s="1"/>
  <c r="E128" i="56"/>
  <c r="E134" i="56" s="1"/>
  <c r="E114" i="56"/>
  <c r="E59" i="44" l="1"/>
  <c r="E75" i="44" s="1"/>
  <c r="E81" i="44" s="1"/>
  <c r="E57" i="44"/>
  <c r="E73" i="44" s="1"/>
  <c r="E79" i="44" s="1"/>
  <c r="E55" i="44"/>
  <c r="E71" i="44" s="1"/>
  <c r="E77" i="44" s="1"/>
  <c r="E74" i="42"/>
  <c r="E72" i="42"/>
  <c r="E70" i="42"/>
  <c r="E45" i="47" l="1"/>
  <c r="E51" i="47" s="1"/>
  <c r="E43" i="47"/>
  <c r="E49" i="47" s="1"/>
  <c r="E59" i="42"/>
  <c r="F159" i="45"/>
  <c r="F110" i="55"/>
  <c r="H92" i="55"/>
  <c r="H90" i="55"/>
  <c r="H88" i="55"/>
  <c r="H86" i="55"/>
  <c r="H82" i="55"/>
  <c r="H80" i="55"/>
  <c r="F78" i="55"/>
  <c r="F106" i="55" s="1"/>
  <c r="F118" i="55" s="1"/>
  <c r="H76" i="55"/>
  <c r="F47" i="55"/>
  <c r="F45" i="55"/>
  <c r="G36" i="55"/>
  <c r="E36" i="55"/>
  <c r="F42" i="55" s="1"/>
  <c r="F29" i="55"/>
  <c r="F362" i="39"/>
  <c r="F376" i="39" s="1"/>
  <c r="F355" i="39"/>
  <c r="F165" i="39"/>
  <c r="F179" i="39" s="1"/>
  <c r="F163" i="39"/>
  <c r="F177" i="39" s="1"/>
  <c r="F161" i="39"/>
  <c r="F175" i="39" s="1"/>
  <c r="F169" i="39"/>
  <c r="F101" i="48"/>
  <c r="F107" i="48"/>
  <c r="E51" i="44"/>
  <c r="E65" i="44" s="1"/>
  <c r="E66" i="42"/>
  <c r="E87" i="42" s="1"/>
  <c r="F57" i="53"/>
  <c r="F73" i="53" s="1"/>
  <c r="F51" i="53"/>
  <c r="F65" i="53" s="1"/>
  <c r="F370" i="39"/>
  <c r="F261" i="39"/>
  <c r="F286" i="39" s="1"/>
  <c r="F292" i="39" s="1"/>
  <c r="F269" i="39"/>
  <c r="F132" i="52"/>
  <c r="F128" i="52"/>
  <c r="F142" i="52" s="1"/>
  <c r="F126" i="52"/>
  <c r="F140" i="52" s="1"/>
  <c r="F62" i="52"/>
  <c r="F56" i="52"/>
  <c r="F70" i="52" s="1"/>
  <c r="F141" i="54"/>
  <c r="F155" i="54" s="1"/>
  <c r="F67" i="54"/>
  <c r="F83" i="54" s="1"/>
  <c r="F89" i="54" s="1"/>
  <c r="F63" i="54"/>
  <c r="F77" i="54" s="1"/>
  <c r="F61" i="54"/>
  <c r="F75" i="54" s="1"/>
  <c r="F364" i="39"/>
  <c r="F378" i="39" s="1"/>
  <c r="F254" i="39"/>
  <c r="F278" i="39" s="1"/>
  <c r="F75" i="39"/>
  <c r="F69" i="39"/>
  <c r="F83" i="39" s="1"/>
  <c r="F161" i="45"/>
  <c r="F85" i="48"/>
  <c r="F36" i="48"/>
  <c r="F81" i="45"/>
  <c r="F83" i="45" s="1"/>
  <c r="F150" i="45"/>
  <c r="F152" i="45" s="1"/>
  <c r="F71" i="45"/>
  <c r="F133" i="45"/>
  <c r="F142" i="45"/>
  <c r="F123" i="45"/>
  <c r="F59" i="45"/>
  <c r="F63" i="45"/>
  <c r="E68" i="42"/>
  <c r="E89" i="42" s="1"/>
  <c r="E64" i="42"/>
  <c r="E85" i="42" s="1"/>
  <c r="F59" i="53"/>
  <c r="F75" i="53" s="1"/>
  <c r="F55" i="53"/>
  <c r="F49" i="53"/>
  <c r="F63" i="53" s="1"/>
  <c r="F134" i="52"/>
  <c r="F150" i="52" s="1"/>
  <c r="F130" i="52"/>
  <c r="F64" i="52"/>
  <c r="F60" i="52"/>
  <c r="F143" i="54"/>
  <c r="F157" i="54" s="1"/>
  <c r="F139" i="54"/>
  <c r="F153" i="54" s="1"/>
  <c r="F69" i="54"/>
  <c r="F85" i="54" s="1"/>
  <c r="F91" i="54" s="1"/>
  <c r="F65" i="54"/>
  <c r="F81" i="54" s="1"/>
  <c r="F87" i="54" s="1"/>
  <c r="F59" i="54"/>
  <c r="F73" i="54" s="1"/>
  <c r="F368" i="39"/>
  <c r="F259" i="39"/>
  <c r="F167" i="39"/>
  <c r="F73" i="39"/>
  <c r="F95" i="37"/>
  <c r="F121" i="37" s="1"/>
  <c r="F123" i="37" s="1"/>
  <c r="H75" i="30"/>
  <c r="H73" i="30"/>
  <c r="H71" i="30"/>
  <c r="H69" i="30"/>
  <c r="H61" i="30"/>
  <c r="H65" i="30"/>
  <c r="H63" i="30"/>
  <c r="H59" i="30"/>
  <c r="F93" i="30"/>
  <c r="F119" i="30" s="1"/>
  <c r="F121" i="30" s="1"/>
  <c r="F53" i="53"/>
  <c r="F67" i="53" s="1"/>
  <c r="F124" i="52"/>
  <c r="F138" i="52" s="1"/>
  <c r="F58" i="52"/>
  <c r="F72" i="52" s="1"/>
  <c r="F54" i="52"/>
  <c r="F68" i="52" s="1"/>
  <c r="F246" i="39"/>
  <c r="F244" i="39"/>
  <c r="F155" i="39"/>
  <c r="F153" i="39"/>
  <c r="F34" i="51"/>
  <c r="F56" i="51" s="1"/>
  <c r="F58" i="51" s="1"/>
  <c r="F131" i="39" s="1"/>
  <c r="C130" i="3"/>
  <c r="C129" i="3"/>
  <c r="C128" i="3"/>
  <c r="C127" i="3"/>
  <c r="F71" i="39"/>
  <c r="F85" i="39" s="1"/>
  <c r="F67" i="39"/>
  <c r="F81" i="39" s="1"/>
  <c r="F326" i="39"/>
  <c r="F372" i="39" s="1"/>
  <c r="F226" i="39"/>
  <c r="F263" i="39" s="1"/>
  <c r="C109" i="3"/>
  <c r="F139" i="39"/>
  <c r="F171" i="39" s="1"/>
  <c r="C108" i="3"/>
  <c r="C107" i="3"/>
  <c r="C106" i="3"/>
  <c r="C105" i="3"/>
  <c r="F45" i="39"/>
  <c r="F77" i="39" s="1"/>
  <c r="F63" i="37"/>
  <c r="F91" i="37" s="1"/>
  <c r="F91" i="30"/>
  <c r="F103" i="30" s="1"/>
  <c r="F89" i="30"/>
  <c r="F101" i="30" s="1"/>
  <c r="F35" i="37"/>
  <c r="F34" i="30"/>
  <c r="F40" i="30" s="1"/>
  <c r="F103" i="48"/>
  <c r="F109" i="48" s="1"/>
  <c r="F99" i="48"/>
  <c r="F105" i="48" s="1"/>
  <c r="F28" i="48"/>
  <c r="F50" i="48" s="1"/>
  <c r="F56" i="48" s="1"/>
  <c r="F52" i="48"/>
  <c r="F58" i="48" s="1"/>
  <c r="G28" i="48"/>
  <c r="E28" i="48"/>
  <c r="E41" i="47"/>
  <c r="F47" i="45"/>
  <c r="E49" i="44"/>
  <c r="E63" i="44" s="1"/>
  <c r="E53" i="44"/>
  <c r="E67" i="44" s="1"/>
  <c r="F27" i="41"/>
  <c r="F38" i="41" s="1"/>
  <c r="F366" i="39"/>
  <c r="F380" i="39" s="1"/>
  <c r="F252" i="39"/>
  <c r="F276" i="39" s="1"/>
  <c r="F267" i="39"/>
  <c r="F256" i="39"/>
  <c r="F280" i="39" s="1"/>
  <c r="F29" i="37"/>
  <c r="F33" i="37"/>
  <c r="F87" i="30"/>
  <c r="F109" i="30" s="1"/>
  <c r="F32" i="30"/>
  <c r="F42" i="30" s="1"/>
  <c r="F163" i="45" l="1"/>
  <c r="F154" i="45"/>
  <c r="F156" i="45" s="1"/>
  <c r="F146" i="52"/>
  <c r="F107" i="30"/>
  <c r="F115" i="30" s="1"/>
  <c r="F111" i="30"/>
  <c r="F55" i="55"/>
  <c r="F147" i="54"/>
  <c r="F163" i="54" s="1"/>
  <c r="F169" i="54" s="1"/>
  <c r="F54" i="48"/>
  <c r="F60" i="48" s="1"/>
  <c r="F41" i="37"/>
  <c r="F392" i="39"/>
  <c r="F71" i="53"/>
  <c r="F148" i="52"/>
  <c r="E80" i="42"/>
  <c r="E101" i="42" s="1"/>
  <c r="F85" i="45"/>
  <c r="F73" i="45"/>
  <c r="F75" i="45"/>
  <c r="F77" i="45" s="1"/>
  <c r="F80" i="52"/>
  <c r="F78" i="52"/>
  <c r="F76" i="52"/>
  <c r="F149" i="54"/>
  <c r="F145" i="54"/>
  <c r="F187" i="39"/>
  <c r="F394" i="39"/>
  <c r="F396" i="39"/>
  <c r="F284" i="39"/>
  <c r="F290" i="39" s="1"/>
  <c r="F288" i="39"/>
  <c r="F294" i="39" s="1"/>
  <c r="F271" i="39"/>
  <c r="F50" i="51"/>
  <c r="F52" i="51" s="1"/>
  <c r="F37" i="39" s="1"/>
  <c r="F62" i="51"/>
  <c r="F64" i="51" s="1"/>
  <c r="F318" i="39" s="1"/>
  <c r="F384" i="39" s="1"/>
  <c r="F191" i="39"/>
  <c r="F197" i="39" s="1"/>
  <c r="F185" i="39"/>
  <c r="F195" i="39"/>
  <c r="F201" i="39" s="1"/>
  <c r="F183" i="39"/>
  <c r="F193" i="39"/>
  <c r="F199" i="39" s="1"/>
  <c r="F103" i="37"/>
  <c r="F89" i="37"/>
  <c r="F111" i="37" s="1"/>
  <c r="F105" i="30"/>
  <c r="F113" i="30" s="1"/>
  <c r="F57" i="55"/>
  <c r="F107" i="37"/>
  <c r="F115" i="37" s="1"/>
  <c r="F93" i="37"/>
  <c r="F109" i="37" s="1"/>
  <c r="F117" i="37" s="1"/>
  <c r="F43" i="37"/>
  <c r="F136" i="55"/>
  <c r="F138" i="55" s="1"/>
  <c r="F108" i="55"/>
  <c r="F120" i="55" s="1"/>
  <c r="F122" i="55"/>
  <c r="F130" i="55" s="1"/>
  <c r="F104" i="55"/>
  <c r="F126" i="55" s="1"/>
  <c r="E95" i="42" l="1"/>
  <c r="E97" i="42"/>
  <c r="E93" i="42"/>
  <c r="F386" i="39"/>
  <c r="F99" i="39"/>
  <c r="F105" i="39" s="1"/>
  <c r="F91" i="39"/>
  <c r="F388" i="39"/>
  <c r="F89" i="39"/>
  <c r="F101" i="39"/>
  <c r="F107" i="39" s="1"/>
  <c r="F93" i="39"/>
  <c r="F97" i="39"/>
  <c r="F103" i="39" s="1"/>
  <c r="E107" i="42"/>
  <c r="E103" i="42"/>
  <c r="E109" i="42" s="1"/>
  <c r="E105" i="42"/>
  <c r="E111" i="42" s="1"/>
  <c r="F165" i="54"/>
  <c r="F171" i="54" s="1"/>
  <c r="F161" i="54"/>
  <c r="F167" i="54" s="1"/>
  <c r="F105" i="37"/>
  <c r="F113" i="37"/>
  <c r="F124" i="55"/>
  <c r="F132" i="55" s="1"/>
  <c r="F128" i="55"/>
</calcChain>
</file>

<file path=xl/sharedStrings.xml><?xml version="1.0" encoding="utf-8"?>
<sst xmlns="http://schemas.openxmlformats.org/spreadsheetml/2006/main" count="3586" uniqueCount="996">
  <si>
    <t>Input</t>
  </si>
  <si>
    <t>Output</t>
  </si>
  <si>
    <t>Variable/parameter</t>
  </si>
  <si>
    <t>Unit</t>
  </si>
  <si>
    <t>Symbol</t>
  </si>
  <si>
    <t>[-]</t>
  </si>
  <si>
    <t>S</t>
  </si>
  <si>
    <t>Value</t>
  </si>
  <si>
    <t>O</t>
  </si>
  <si>
    <t>Available at: http://echa.europa.eu/en/guidance-documents/guidance-on-biocides-legislation/emission-scenario-documents</t>
  </si>
  <si>
    <t>d</t>
  </si>
  <si>
    <r>
      <t xml:space="preserve">S/D/O/P </t>
    </r>
    <r>
      <rPr>
        <i/>
        <vertAlign val="superscript"/>
        <sz val="10"/>
        <color rgb="FF0070C0"/>
        <rFont val="Verdana"/>
        <family val="2"/>
      </rPr>
      <t>1</t>
    </r>
  </si>
  <si>
    <t>1) S: data set; D: default; O: output; P: pick list</t>
  </si>
  <si>
    <t>D</t>
  </si>
  <si>
    <r>
      <t>m</t>
    </r>
    <r>
      <rPr>
        <vertAlign val="superscript"/>
        <sz val="10"/>
        <color theme="1"/>
        <rFont val="Verdana"/>
        <family val="2"/>
      </rPr>
      <t>2</t>
    </r>
  </si>
  <si>
    <t>??</t>
  </si>
  <si>
    <t>INDEX</t>
  </si>
  <si>
    <t>Version history</t>
  </si>
  <si>
    <t>v1.0</t>
  </si>
  <si>
    <t xml:space="preserve">Instructions for using the table: </t>
  </si>
  <si>
    <t>D/P</t>
  </si>
  <si>
    <r>
      <t>kg.d</t>
    </r>
    <r>
      <rPr>
        <vertAlign val="superscript"/>
        <sz val="10"/>
        <color theme="1"/>
        <rFont val="Verdana"/>
        <family val="2"/>
      </rPr>
      <t>-1</t>
    </r>
  </si>
  <si>
    <t>P</t>
  </si>
  <si>
    <r>
      <t>V</t>
    </r>
    <r>
      <rPr>
        <vertAlign val="subscript"/>
        <sz val="10"/>
        <color theme="1"/>
        <rFont val="Verdana"/>
        <family val="2"/>
      </rPr>
      <t>soil</t>
    </r>
  </si>
  <si>
    <r>
      <t>m</t>
    </r>
    <r>
      <rPr>
        <vertAlign val="superscript"/>
        <sz val="10"/>
        <color theme="1"/>
        <rFont val="Verdana"/>
        <family val="2"/>
      </rPr>
      <t>3</t>
    </r>
  </si>
  <si>
    <t>Bulk density of wet soil</t>
  </si>
  <si>
    <r>
      <t>kg</t>
    </r>
    <r>
      <rPr>
        <vertAlign val="subscript"/>
        <sz val="10"/>
        <color theme="1"/>
        <rFont val="Verdana"/>
        <family val="2"/>
      </rPr>
      <t>wwt</t>
    </r>
    <r>
      <rPr>
        <sz val="10"/>
        <color theme="1"/>
        <rFont val="Verdana"/>
        <family val="2"/>
      </rPr>
      <t>.m</t>
    </r>
    <r>
      <rPr>
        <vertAlign val="superscript"/>
        <sz val="10"/>
        <color theme="1"/>
        <rFont val="Verdana"/>
        <family val="2"/>
      </rPr>
      <t>-3</t>
    </r>
  </si>
  <si>
    <r>
      <t>FLOW</t>
    </r>
    <r>
      <rPr>
        <vertAlign val="subscript"/>
        <sz val="10"/>
        <color theme="1"/>
        <rFont val="Verdana"/>
        <family val="2"/>
      </rPr>
      <t>surfacewater</t>
    </r>
  </si>
  <si>
    <r>
      <t>m</t>
    </r>
    <r>
      <rPr>
        <vertAlign val="superscript"/>
        <sz val="10"/>
        <color theme="1"/>
        <rFont val="Verdana"/>
        <family val="2"/>
      </rPr>
      <t>3</t>
    </r>
    <r>
      <rPr>
        <sz val="10"/>
        <color theme="1"/>
        <rFont val="Verdana"/>
        <family val="2"/>
      </rPr>
      <t>.d</t>
    </r>
    <r>
      <rPr>
        <vertAlign val="superscript"/>
        <sz val="10"/>
        <color theme="1"/>
        <rFont val="Verdana"/>
        <family val="2"/>
      </rPr>
      <t>-1</t>
    </r>
  </si>
  <si>
    <r>
      <t>m</t>
    </r>
    <r>
      <rPr>
        <vertAlign val="superscript"/>
        <sz val="10"/>
        <color theme="1"/>
        <rFont val="Verdana"/>
        <family val="2"/>
      </rPr>
      <t>2</t>
    </r>
    <r>
      <rPr>
        <sz val="10"/>
        <color theme="1"/>
        <rFont val="Verdana"/>
        <family val="2"/>
      </rPr>
      <t>.d</t>
    </r>
    <r>
      <rPr>
        <vertAlign val="superscript"/>
        <sz val="10"/>
        <color theme="1"/>
        <rFont val="Verdana"/>
        <family val="2"/>
      </rPr>
      <t>-1</t>
    </r>
  </si>
  <si>
    <r>
      <t>RHO</t>
    </r>
    <r>
      <rPr>
        <vertAlign val="subscript"/>
        <sz val="10"/>
        <color theme="1"/>
        <rFont val="Verdana"/>
        <family val="2"/>
      </rPr>
      <t>soil</t>
    </r>
  </si>
  <si>
    <t>Fraction released to air</t>
  </si>
  <si>
    <r>
      <t>kg.m</t>
    </r>
    <r>
      <rPr>
        <vertAlign val="superscript"/>
        <sz val="10"/>
        <rFont val="Verdana"/>
        <family val="2"/>
      </rPr>
      <t>-3</t>
    </r>
  </si>
  <si>
    <r>
      <t>F</t>
    </r>
    <r>
      <rPr>
        <vertAlign val="subscript"/>
        <sz val="10"/>
        <color theme="1"/>
        <rFont val="Verdana"/>
        <family val="2"/>
      </rPr>
      <t>air</t>
    </r>
  </si>
  <si>
    <t>References / Calculation formulas / Explanations</t>
  </si>
  <si>
    <t>Environmental Emission Scenarios for Product Type 8: Wood preservatives</t>
  </si>
  <si>
    <t>ESD for PT 8: Revised emission scenario document for wood preservatives (OECD series No. 2, 2013)</t>
  </si>
  <si>
    <t>A) Emission scenario for automated spraying - product application (ESD Table 4.2, p.43)</t>
  </si>
  <si>
    <t>Table 4.2, p. 43</t>
  </si>
  <si>
    <t>Spreadsheet "PT8 -automated spraying"</t>
  </si>
  <si>
    <t>Fraction released to drain</t>
  </si>
  <si>
    <t>Plant size</t>
  </si>
  <si>
    <t>Small plant</t>
  </si>
  <si>
    <t>Select small or large plant</t>
  </si>
  <si>
    <t>Large plant</t>
  </si>
  <si>
    <t>Area of wood treated</t>
  </si>
  <si>
    <t>Area of wood treated per day in a:</t>
  </si>
  <si>
    <r>
      <t>AREA</t>
    </r>
    <r>
      <rPr>
        <vertAlign val="subscript"/>
        <sz val="10"/>
        <color theme="1"/>
        <rFont val="Verdana"/>
        <family val="2"/>
      </rPr>
      <t>wood-treated</t>
    </r>
  </si>
  <si>
    <r>
      <t>Q</t>
    </r>
    <r>
      <rPr>
        <vertAlign val="subscript"/>
        <sz val="10"/>
        <color theme="1"/>
        <rFont val="Verdana"/>
        <family val="2"/>
      </rPr>
      <t>ai</t>
    </r>
  </si>
  <si>
    <r>
      <t>kg.m</t>
    </r>
    <r>
      <rPr>
        <vertAlign val="superscript"/>
        <sz val="10"/>
        <color theme="1"/>
        <rFont val="Verdana"/>
        <family val="2"/>
      </rPr>
      <t>-2</t>
    </r>
  </si>
  <si>
    <t>Water solubilty &lt;0.25 mg/l</t>
  </si>
  <si>
    <t>Water solubilty 0.25 to &lt;1 mg/l</t>
  </si>
  <si>
    <t>Water solubilty 1 to &lt;50 mg/l</t>
  </si>
  <si>
    <t>Water solubilty 50 to &lt;100 mg/l</t>
  </si>
  <si>
    <t>Vapour pressure at 20 °C (Pa)</t>
  </si>
  <si>
    <r>
      <t xml:space="preserve">Select vapour pressure at 20 </t>
    </r>
    <r>
      <rPr>
        <sz val="10"/>
        <color theme="1"/>
        <rFont val="Verdana"/>
        <family val="2"/>
      </rPr>
      <t>°</t>
    </r>
    <r>
      <rPr>
        <i/>
        <sz val="10"/>
        <color theme="1"/>
        <rFont val="Verdana"/>
        <family val="2"/>
      </rPr>
      <t>C (Pa)</t>
    </r>
  </si>
  <si>
    <t>Vapour pressure at 20 °C: &lt;0.005 Pa</t>
  </si>
  <si>
    <t>Vapour pressure at 20 °C: 0.005 to &lt;0.05 Pa</t>
  </si>
  <si>
    <t>Vapour pressure at 20 °C: 0.05 to &lt;0.5 Pa</t>
  </si>
  <si>
    <t>Vapour pressure at 20 °C: 0.5 to &lt;1.25 Pa</t>
  </si>
  <si>
    <t>Vapour pressure at 20 °C: 1.25 to &lt;2.5 Pa</t>
  </si>
  <si>
    <t>Select vapour pressure at 20 °C (Pa)</t>
  </si>
  <si>
    <r>
      <t>F</t>
    </r>
    <r>
      <rPr>
        <vertAlign val="subscript"/>
        <sz val="10"/>
        <color theme="1"/>
        <rFont val="Verdana"/>
        <family val="2"/>
      </rPr>
      <t>drift</t>
    </r>
  </si>
  <si>
    <r>
      <t>Elocal</t>
    </r>
    <r>
      <rPr>
        <vertAlign val="subscript"/>
        <sz val="10"/>
        <color theme="1"/>
        <rFont val="Verdana"/>
        <family val="2"/>
      </rPr>
      <t>air</t>
    </r>
  </si>
  <si>
    <r>
      <rPr>
        <b/>
        <sz val="10"/>
        <color theme="1"/>
        <rFont val="Verdana"/>
        <family val="2"/>
      </rPr>
      <t>Elocal</t>
    </r>
    <r>
      <rPr>
        <b/>
        <vertAlign val="subscript"/>
        <sz val="10"/>
        <color theme="1"/>
        <rFont val="Verdana"/>
        <family val="2"/>
      </rPr>
      <t>air</t>
    </r>
    <r>
      <rPr>
        <b/>
        <sz val="10"/>
        <color theme="1"/>
        <rFont val="Verdana"/>
        <family val="2"/>
      </rPr>
      <t xml:space="preserve"> </t>
    </r>
    <r>
      <rPr>
        <sz val="10"/>
        <color theme="1"/>
        <rFont val="Verdana"/>
        <family val="2"/>
      </rPr>
      <t>= Q</t>
    </r>
    <r>
      <rPr>
        <vertAlign val="subscript"/>
        <sz val="10"/>
        <color theme="1"/>
        <rFont val="Verdana"/>
        <family val="2"/>
      </rPr>
      <t>ai</t>
    </r>
    <r>
      <rPr>
        <sz val="10"/>
        <color theme="1"/>
        <rFont val="Verdana"/>
        <family val="2"/>
      </rPr>
      <t xml:space="preserve"> * AREA</t>
    </r>
    <r>
      <rPr>
        <vertAlign val="subscript"/>
        <sz val="10"/>
        <color theme="1"/>
        <rFont val="Verdana"/>
        <family val="2"/>
      </rPr>
      <t>wood-treated</t>
    </r>
    <r>
      <rPr>
        <sz val="10"/>
        <color theme="1"/>
        <rFont val="Verdana"/>
        <family val="2"/>
      </rPr>
      <t xml:space="preserve"> * (F</t>
    </r>
    <r>
      <rPr>
        <vertAlign val="subscript"/>
        <sz val="10"/>
        <color theme="1"/>
        <rFont val="Verdana"/>
        <family val="2"/>
      </rPr>
      <t>air</t>
    </r>
    <r>
      <rPr>
        <sz val="10"/>
        <color theme="1"/>
        <rFont val="Verdana"/>
        <family val="2"/>
      </rPr>
      <t xml:space="preserve"> + F</t>
    </r>
    <r>
      <rPr>
        <vertAlign val="subscript"/>
        <sz val="10"/>
        <color theme="1"/>
        <rFont val="Verdana"/>
        <family val="2"/>
      </rPr>
      <t>drift</t>
    </r>
    <r>
      <rPr>
        <sz val="10"/>
        <color theme="1"/>
        <rFont val="Verdana"/>
        <family val="2"/>
      </rPr>
      <t>)</t>
    </r>
  </si>
  <si>
    <r>
      <t>Effective surface area of treated wood, considered to be exposed to rain, per 1 m</t>
    </r>
    <r>
      <rPr>
        <vertAlign val="superscript"/>
        <sz val="10"/>
        <color theme="1"/>
        <rFont val="Verdana"/>
        <family val="2"/>
      </rPr>
      <t xml:space="preserve">2 </t>
    </r>
    <r>
      <rPr>
        <sz val="10"/>
        <color theme="1"/>
        <rFont val="Verdana"/>
        <family val="2"/>
      </rPr>
      <t>storage area (i.e. soil)</t>
    </r>
  </si>
  <si>
    <r>
      <t>AREA</t>
    </r>
    <r>
      <rPr>
        <vertAlign val="subscript"/>
        <sz val="10"/>
        <color theme="1"/>
        <rFont val="Verdana"/>
        <family val="2"/>
      </rPr>
      <t>wood-expo</t>
    </r>
  </si>
  <si>
    <r>
      <t>m</t>
    </r>
    <r>
      <rPr>
        <vertAlign val="superscript"/>
        <sz val="10"/>
        <color theme="1"/>
        <rFont val="Verdana"/>
        <family val="2"/>
      </rPr>
      <t>2</t>
    </r>
    <r>
      <rPr>
        <sz val="10"/>
        <color theme="1"/>
        <rFont val="Verdana"/>
        <family val="2"/>
      </rPr>
      <t>.m</t>
    </r>
    <r>
      <rPr>
        <vertAlign val="superscript"/>
        <sz val="10"/>
        <color theme="1"/>
        <rFont val="Verdana"/>
        <family val="2"/>
      </rPr>
      <t>-2</t>
    </r>
  </si>
  <si>
    <t>Table 4.3, p. 44</t>
  </si>
  <si>
    <t>Area of storage place</t>
  </si>
  <si>
    <t xml:space="preserve">Surface area of the storage place in a: </t>
  </si>
  <si>
    <r>
      <t>AREA</t>
    </r>
    <r>
      <rPr>
        <vertAlign val="subscript"/>
        <sz val="10"/>
        <color theme="1"/>
        <rFont val="Verdana"/>
        <family val="2"/>
      </rPr>
      <t>storage</t>
    </r>
  </si>
  <si>
    <t>Duration of the initial assessment period</t>
  </si>
  <si>
    <t>TIME1</t>
  </si>
  <si>
    <t>Duration of a longer assessment period</t>
  </si>
  <si>
    <t>TIME2</t>
  </si>
  <si>
    <r>
      <t>FLUX</t>
    </r>
    <r>
      <rPr>
        <vertAlign val="subscript"/>
        <sz val="10"/>
        <color theme="1"/>
        <rFont val="Verdana"/>
        <family val="2"/>
      </rPr>
      <t>storage,spray</t>
    </r>
  </si>
  <si>
    <r>
      <t>kg.m</t>
    </r>
    <r>
      <rPr>
        <vertAlign val="superscript"/>
        <sz val="10"/>
        <rFont val="Verdana"/>
        <family val="2"/>
      </rPr>
      <t>-2</t>
    </r>
    <r>
      <rPr>
        <sz val="10"/>
        <rFont val="Verdana"/>
        <family val="2"/>
      </rPr>
      <t>.d</t>
    </r>
    <r>
      <rPr>
        <vertAlign val="superscript"/>
        <sz val="10"/>
        <rFont val="Verdana"/>
        <family val="2"/>
      </rPr>
      <t>-1</t>
    </r>
  </si>
  <si>
    <t>Soil depth</t>
  </si>
  <si>
    <t>m</t>
  </si>
  <si>
    <r>
      <t>DEPTH</t>
    </r>
    <r>
      <rPr>
        <vertAlign val="subscript"/>
        <sz val="10"/>
        <color theme="1"/>
        <rFont val="Verdana"/>
        <family val="2"/>
      </rPr>
      <t>soil</t>
    </r>
  </si>
  <si>
    <t>Fraction of rainwater running off the storage site</t>
  </si>
  <si>
    <r>
      <t>F</t>
    </r>
    <r>
      <rPr>
        <vertAlign val="subscript"/>
        <sz val="10"/>
        <color theme="1"/>
        <rFont val="Verdana"/>
        <family val="2"/>
      </rPr>
      <t>runoff</t>
    </r>
  </si>
  <si>
    <t>Intermediate calculations</t>
  </si>
  <si>
    <t>Volume of wet soil</t>
  </si>
  <si>
    <t>Cumulative quantity of a substance, leached due to rainfall from stored treated wood, over the initial assessment period</t>
  </si>
  <si>
    <t>Cumulative quantity of a substance, leached due to rainfall from stored treated wood, over a longer assessment period</t>
  </si>
  <si>
    <t>kg</t>
  </si>
  <si>
    <t>Local concentration in soil at storage place at the end of the initial assessment period</t>
  </si>
  <si>
    <r>
      <t>Clocal</t>
    </r>
    <r>
      <rPr>
        <vertAlign val="subscript"/>
        <sz val="10"/>
        <color theme="1"/>
        <rFont val="Verdana"/>
        <family val="2"/>
      </rPr>
      <t>soil,time1</t>
    </r>
  </si>
  <si>
    <r>
      <t>kg.kg</t>
    </r>
    <r>
      <rPr>
        <vertAlign val="subscript"/>
        <sz val="10"/>
        <color theme="1"/>
        <rFont val="Verdana"/>
        <family val="2"/>
      </rPr>
      <t>wwt</t>
    </r>
    <r>
      <rPr>
        <vertAlign val="superscript"/>
        <sz val="10"/>
        <color theme="1"/>
        <rFont val="Verdana"/>
        <family val="2"/>
      </rPr>
      <t>-1</t>
    </r>
  </si>
  <si>
    <t>Local concentration in soil at storage place at the end of a longer assessment period</t>
  </si>
  <si>
    <r>
      <t>Clocal</t>
    </r>
    <r>
      <rPr>
        <vertAlign val="subscript"/>
        <sz val="10"/>
        <color theme="1"/>
        <rFont val="Verdana"/>
        <family val="2"/>
      </rPr>
      <t>soil,time2</t>
    </r>
  </si>
  <si>
    <r>
      <rPr>
        <b/>
        <sz val="10"/>
        <color theme="1"/>
        <rFont val="Verdana"/>
        <family val="2"/>
      </rPr>
      <t>V</t>
    </r>
    <r>
      <rPr>
        <b/>
        <vertAlign val="subscript"/>
        <sz val="10"/>
        <color theme="1"/>
        <rFont val="Verdana"/>
        <family val="2"/>
      </rPr>
      <t>soil</t>
    </r>
    <r>
      <rPr>
        <b/>
        <sz val="10"/>
        <color theme="1"/>
        <rFont val="Verdana"/>
        <family val="2"/>
      </rPr>
      <t xml:space="preserve"> </t>
    </r>
    <r>
      <rPr>
        <sz val="10"/>
        <color theme="1"/>
        <rFont val="Verdana"/>
        <family val="2"/>
      </rPr>
      <t>= AREA</t>
    </r>
    <r>
      <rPr>
        <vertAlign val="subscript"/>
        <sz val="10"/>
        <color theme="1"/>
        <rFont val="Verdana"/>
        <family val="2"/>
      </rPr>
      <t>storage</t>
    </r>
    <r>
      <rPr>
        <sz val="10"/>
        <color theme="1"/>
        <rFont val="Verdana"/>
        <family val="2"/>
      </rPr>
      <t xml:space="preserve"> * DEPTH</t>
    </r>
    <r>
      <rPr>
        <vertAlign val="subscript"/>
        <sz val="10"/>
        <color theme="1"/>
        <rFont val="Verdana"/>
        <family val="2"/>
      </rPr>
      <t>soil</t>
    </r>
  </si>
  <si>
    <r>
      <rPr>
        <b/>
        <sz val="11"/>
        <color theme="1"/>
        <rFont val="Verdana"/>
        <family val="2"/>
      </rPr>
      <t>Reference document:</t>
    </r>
    <r>
      <rPr>
        <sz val="11"/>
        <color theme="1"/>
        <rFont val="Verdana"/>
        <family val="2"/>
      </rPr>
      <t xml:space="preserve"> </t>
    </r>
  </si>
  <si>
    <t>TIME1 = 30 days for an initial assessment</t>
  </si>
  <si>
    <r>
      <rPr>
        <b/>
        <sz val="10"/>
        <color theme="1"/>
        <rFont val="Verdana"/>
        <family val="2"/>
      </rPr>
      <t>Clocal</t>
    </r>
    <r>
      <rPr>
        <b/>
        <vertAlign val="subscript"/>
        <sz val="10"/>
        <color theme="1"/>
        <rFont val="Verdana"/>
        <family val="2"/>
      </rPr>
      <t>soil,TIME1</t>
    </r>
    <r>
      <rPr>
        <sz val="10"/>
        <color theme="1"/>
        <rFont val="Verdana"/>
        <family val="2"/>
      </rPr>
      <t xml:space="preserve"> = Q</t>
    </r>
    <r>
      <rPr>
        <vertAlign val="subscript"/>
        <sz val="10"/>
        <color theme="1"/>
        <rFont val="Verdana"/>
        <family val="2"/>
      </rPr>
      <t>leach,storage,TIME1</t>
    </r>
    <r>
      <rPr>
        <sz val="10"/>
        <color theme="1"/>
        <rFont val="Verdana"/>
        <family val="2"/>
      </rPr>
      <t xml:space="preserve"> * (1 - F</t>
    </r>
    <r>
      <rPr>
        <vertAlign val="subscript"/>
        <sz val="10"/>
        <color theme="1"/>
        <rFont val="Verdana"/>
        <family val="2"/>
      </rPr>
      <t>runoff</t>
    </r>
    <r>
      <rPr>
        <sz val="10"/>
        <color theme="1"/>
        <rFont val="Verdana"/>
        <family val="2"/>
      </rPr>
      <t>) /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</si>
  <si>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rPr>
        <b/>
        <sz val="10"/>
        <color theme="1"/>
        <rFont val="Verdana"/>
        <family val="2"/>
      </rPr>
      <t>Clocal</t>
    </r>
    <r>
      <rPr>
        <b/>
        <vertAlign val="subscript"/>
        <sz val="10"/>
        <color theme="1"/>
        <rFont val="Verdana"/>
        <family val="2"/>
      </rPr>
      <t>soil,TIME2</t>
    </r>
    <r>
      <rPr>
        <sz val="10"/>
        <color theme="1"/>
        <rFont val="Verdana"/>
        <family val="2"/>
      </rPr>
      <t xml:space="preserve"> = Q</t>
    </r>
    <r>
      <rPr>
        <vertAlign val="subscript"/>
        <sz val="10"/>
        <color theme="1"/>
        <rFont val="Verdana"/>
        <family val="2"/>
      </rPr>
      <t>leach,storage,TIME2</t>
    </r>
    <r>
      <rPr>
        <sz val="10"/>
        <color theme="1"/>
        <rFont val="Verdana"/>
        <family val="2"/>
      </rPr>
      <t xml:space="preserve"> * (1 - F</t>
    </r>
    <r>
      <rPr>
        <vertAlign val="subscript"/>
        <sz val="10"/>
        <color theme="1"/>
        <rFont val="Verdana"/>
        <family val="2"/>
      </rPr>
      <t>runoff</t>
    </r>
    <r>
      <rPr>
        <sz val="10"/>
        <color theme="1"/>
        <rFont val="Verdana"/>
        <family val="2"/>
      </rPr>
      <t>) /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</si>
  <si>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t>Elocal</t>
    </r>
    <r>
      <rPr>
        <vertAlign val="subscript"/>
        <sz val="10"/>
        <color theme="1"/>
        <rFont val="Verdana"/>
        <family val="2"/>
      </rPr>
      <t>surfacewater,TIME1</t>
    </r>
  </si>
  <si>
    <r>
      <t>Elocal</t>
    </r>
    <r>
      <rPr>
        <vertAlign val="subscript"/>
        <sz val="10"/>
        <color theme="1"/>
        <rFont val="Verdana"/>
        <family val="2"/>
      </rPr>
      <t>surfacewater,TIME2</t>
    </r>
  </si>
  <si>
    <t>Local concentration in surface water over the initial assessment period</t>
  </si>
  <si>
    <t>Local concentration in surface water over a longer assessment period</t>
  </si>
  <si>
    <r>
      <t>Clocal</t>
    </r>
    <r>
      <rPr>
        <vertAlign val="subscript"/>
        <sz val="10"/>
        <color theme="1"/>
        <rFont val="Verdana"/>
        <family val="2"/>
      </rPr>
      <t>surfacewater,TIME1</t>
    </r>
  </si>
  <si>
    <r>
      <t>Clocal</t>
    </r>
    <r>
      <rPr>
        <vertAlign val="subscript"/>
        <sz val="10"/>
        <color theme="1"/>
        <rFont val="Verdana"/>
        <family val="2"/>
      </rPr>
      <t>surfacewater,TIME2</t>
    </r>
  </si>
  <si>
    <r>
      <rPr>
        <b/>
        <sz val="10"/>
        <color theme="1"/>
        <rFont val="Verdana"/>
        <family val="2"/>
      </rPr>
      <t>Elocal</t>
    </r>
    <r>
      <rPr>
        <b/>
        <vertAlign val="subscript"/>
        <sz val="10"/>
        <color theme="1"/>
        <rFont val="Verdana"/>
        <family val="2"/>
      </rPr>
      <t>surfacewater,TIME1</t>
    </r>
    <r>
      <rPr>
        <sz val="10"/>
        <color theme="1"/>
        <rFont val="Verdana"/>
        <family val="2"/>
      </rPr>
      <t xml:space="preserve"> = Q</t>
    </r>
    <r>
      <rPr>
        <vertAlign val="subscript"/>
        <sz val="10"/>
        <color theme="1"/>
        <rFont val="Verdana"/>
        <family val="2"/>
      </rPr>
      <t>leach,storage,TIME1</t>
    </r>
    <r>
      <rPr>
        <sz val="10"/>
        <color theme="1"/>
        <rFont val="Verdana"/>
        <family val="2"/>
      </rPr>
      <t xml:space="preserve"> * F</t>
    </r>
    <r>
      <rPr>
        <vertAlign val="subscript"/>
        <sz val="10"/>
        <color theme="1"/>
        <rFont val="Verdana"/>
        <family val="2"/>
      </rPr>
      <t>runoff</t>
    </r>
    <r>
      <rPr>
        <sz val="10"/>
        <color theme="1"/>
        <rFont val="Verdana"/>
        <family val="2"/>
      </rPr>
      <t xml:space="preserve"> / TIME1</t>
    </r>
  </si>
  <si>
    <r>
      <rPr>
        <b/>
        <sz val="10"/>
        <color theme="1"/>
        <rFont val="Verdana"/>
        <family val="2"/>
      </rPr>
      <t>Elocal</t>
    </r>
    <r>
      <rPr>
        <b/>
        <vertAlign val="subscript"/>
        <sz val="10"/>
        <color theme="1"/>
        <rFont val="Verdana"/>
        <family val="2"/>
      </rPr>
      <t>surfacewater,TIME2</t>
    </r>
    <r>
      <rPr>
        <sz val="10"/>
        <color theme="1"/>
        <rFont val="Verdana"/>
        <family val="2"/>
      </rPr>
      <t xml:space="preserve"> = Q</t>
    </r>
    <r>
      <rPr>
        <vertAlign val="subscript"/>
        <sz val="10"/>
        <color theme="1"/>
        <rFont val="Verdana"/>
        <family val="2"/>
      </rPr>
      <t>leach,storage,TIME2</t>
    </r>
    <r>
      <rPr>
        <sz val="10"/>
        <color theme="1"/>
        <rFont val="Verdana"/>
        <family val="2"/>
      </rPr>
      <t xml:space="preserve"> * F</t>
    </r>
    <r>
      <rPr>
        <vertAlign val="subscript"/>
        <sz val="10"/>
        <color theme="1"/>
        <rFont val="Verdana"/>
        <family val="2"/>
      </rPr>
      <t>runoff</t>
    </r>
    <r>
      <rPr>
        <sz val="10"/>
        <color theme="1"/>
        <rFont val="Verdana"/>
        <family val="2"/>
      </rPr>
      <t xml:space="preserve"> / TIME2</t>
    </r>
  </si>
  <si>
    <r>
      <t>Q</t>
    </r>
    <r>
      <rPr>
        <vertAlign val="subscript"/>
        <sz val="10"/>
        <color theme="1"/>
        <rFont val="Verdana"/>
        <family val="2"/>
      </rPr>
      <t>leach,storage,TIME1</t>
    </r>
  </si>
  <si>
    <r>
      <t>Q</t>
    </r>
    <r>
      <rPr>
        <vertAlign val="subscript"/>
        <sz val="10"/>
        <color theme="1"/>
        <rFont val="Verdana"/>
        <family val="2"/>
      </rPr>
      <t>leach,storage,TIME2</t>
    </r>
  </si>
  <si>
    <r>
      <rPr>
        <b/>
        <sz val="10"/>
        <color theme="1"/>
        <rFont val="Verdana"/>
        <family val="2"/>
      </rPr>
      <t>Q</t>
    </r>
    <r>
      <rPr>
        <b/>
        <vertAlign val="subscript"/>
        <sz val="10"/>
        <color theme="1"/>
        <rFont val="Verdana"/>
        <family val="2"/>
      </rPr>
      <t>leach,storage,TIME1</t>
    </r>
    <r>
      <rPr>
        <sz val="10"/>
        <color theme="1"/>
        <rFont val="Verdana"/>
        <family val="2"/>
      </rPr>
      <t xml:space="preserve"> = FLUX</t>
    </r>
    <r>
      <rPr>
        <vertAlign val="subscript"/>
        <sz val="10"/>
        <color theme="1"/>
        <rFont val="Verdana"/>
        <family val="2"/>
      </rPr>
      <t>storage,spray</t>
    </r>
    <r>
      <rPr>
        <sz val="10"/>
        <color theme="1"/>
        <rFont val="Verdana"/>
        <family val="2"/>
      </rPr>
      <t xml:space="preserve"> * AREA</t>
    </r>
    <r>
      <rPr>
        <vertAlign val="subscript"/>
        <sz val="10"/>
        <color theme="1"/>
        <rFont val="Verdana"/>
        <family val="2"/>
      </rPr>
      <t>wood-expo</t>
    </r>
    <r>
      <rPr>
        <sz val="10"/>
        <color theme="1"/>
        <rFont val="Verdana"/>
        <family val="2"/>
      </rPr>
      <t xml:space="preserve"> * AREA</t>
    </r>
    <r>
      <rPr>
        <vertAlign val="subscript"/>
        <sz val="10"/>
        <color theme="1"/>
        <rFont val="Verdana"/>
        <family val="2"/>
      </rPr>
      <t>storage</t>
    </r>
    <r>
      <rPr>
        <sz val="10"/>
        <color theme="1"/>
        <rFont val="Verdana"/>
        <family val="2"/>
      </rPr>
      <t xml:space="preserve"> * TIME1</t>
    </r>
  </si>
  <si>
    <r>
      <rPr>
        <b/>
        <sz val="10"/>
        <color theme="1"/>
        <rFont val="Verdana"/>
        <family val="2"/>
      </rPr>
      <t>Q</t>
    </r>
    <r>
      <rPr>
        <b/>
        <vertAlign val="subscript"/>
        <sz val="10"/>
        <color theme="1"/>
        <rFont val="Verdana"/>
        <family val="2"/>
      </rPr>
      <t>leach,storage,TIME2</t>
    </r>
    <r>
      <rPr>
        <sz val="10"/>
        <color theme="1"/>
        <rFont val="Verdana"/>
        <family val="2"/>
      </rPr>
      <t xml:space="preserve"> = FLUX</t>
    </r>
    <r>
      <rPr>
        <vertAlign val="subscript"/>
        <sz val="10"/>
        <color theme="1"/>
        <rFont val="Verdana"/>
        <family val="2"/>
      </rPr>
      <t>storage,spray</t>
    </r>
    <r>
      <rPr>
        <sz val="10"/>
        <color theme="1"/>
        <rFont val="Verdana"/>
        <family val="2"/>
      </rPr>
      <t xml:space="preserve"> * AREA</t>
    </r>
    <r>
      <rPr>
        <vertAlign val="subscript"/>
        <sz val="10"/>
        <color theme="1"/>
        <rFont val="Verdana"/>
        <family val="2"/>
      </rPr>
      <t>wood-expo</t>
    </r>
    <r>
      <rPr>
        <sz val="10"/>
        <color theme="1"/>
        <rFont val="Verdana"/>
        <family val="2"/>
      </rPr>
      <t xml:space="preserve"> * AREA</t>
    </r>
    <r>
      <rPr>
        <vertAlign val="subscript"/>
        <sz val="10"/>
        <color theme="1"/>
        <rFont val="Verdana"/>
        <family val="2"/>
      </rPr>
      <t>storage</t>
    </r>
    <r>
      <rPr>
        <sz val="10"/>
        <color theme="1"/>
        <rFont val="Verdana"/>
        <family val="2"/>
      </rPr>
      <t xml:space="preserve"> * TIME2</t>
    </r>
  </si>
  <si>
    <r>
      <t>1. In the "Input" table, select "Small plant" or "Large plant"; AREA</t>
    </r>
    <r>
      <rPr>
        <vertAlign val="subscript"/>
        <sz val="10"/>
        <rFont val="Verdana"/>
        <family val="2"/>
      </rPr>
      <t>wood-treated</t>
    </r>
    <r>
      <rPr>
        <sz val="10"/>
        <rFont val="Verdana"/>
        <family val="2"/>
      </rPr>
      <t xml:space="preserve"> will be automatically filled in with the corresponding default value.</t>
    </r>
  </si>
  <si>
    <r>
      <t>4. Select the substance vapour pressure at 20 °C (Pa); F</t>
    </r>
    <r>
      <rPr>
        <vertAlign val="subscript"/>
        <sz val="10"/>
        <rFont val="Verdana"/>
        <family val="2"/>
      </rPr>
      <t>air</t>
    </r>
    <r>
      <rPr>
        <sz val="10"/>
        <rFont val="Verdana"/>
        <family val="2"/>
      </rPr>
      <t xml:space="preserve"> will be automatically filled in with the corresponding default value.</t>
    </r>
  </si>
  <si>
    <t>Flow rate of surface water (creek/river)</t>
  </si>
  <si>
    <r>
      <t>1. In the "Input" table, select "Small plant" or "Large plant"; AREA</t>
    </r>
    <r>
      <rPr>
        <vertAlign val="subscript"/>
        <sz val="10"/>
        <rFont val="Verdana"/>
        <family val="2"/>
      </rPr>
      <t>storage</t>
    </r>
    <r>
      <rPr>
        <sz val="10"/>
        <rFont val="Verdana"/>
        <family val="2"/>
      </rPr>
      <t xml:space="preserve"> will be automatically filled in with the corresponding default value.</t>
    </r>
  </si>
  <si>
    <t>A) Emission scenario for dipping / immersion - product application (ESD Table 4.5, p.49)</t>
  </si>
  <si>
    <t>Volume of wood treated per day</t>
  </si>
  <si>
    <r>
      <t>VOLUME</t>
    </r>
    <r>
      <rPr>
        <vertAlign val="subscript"/>
        <sz val="10"/>
        <color theme="1"/>
        <rFont val="Verdana"/>
        <family val="2"/>
      </rPr>
      <t>wood-treated</t>
    </r>
  </si>
  <si>
    <r>
      <t>Quantity of a substance applied per m</t>
    </r>
    <r>
      <rPr>
        <vertAlign val="superscript"/>
        <sz val="10"/>
        <color theme="1"/>
        <rFont val="Verdana"/>
        <family val="2"/>
      </rPr>
      <t>3</t>
    </r>
    <r>
      <rPr>
        <sz val="10"/>
        <color theme="1"/>
        <rFont val="Verdana"/>
        <family val="2"/>
      </rPr>
      <t xml:space="preserve"> of wood </t>
    </r>
  </si>
  <si>
    <r>
      <t>kg.m</t>
    </r>
    <r>
      <rPr>
        <vertAlign val="superscript"/>
        <sz val="10"/>
        <color theme="1"/>
        <rFont val="Verdana"/>
        <family val="2"/>
      </rPr>
      <t>-3</t>
    </r>
  </si>
  <si>
    <t xml:space="preserve">Fraction of spray drift deposition </t>
  </si>
  <si>
    <r>
      <rPr>
        <b/>
        <sz val="10"/>
        <color theme="1"/>
        <rFont val="Verdana"/>
        <family val="2"/>
      </rPr>
      <t>Elocal</t>
    </r>
    <r>
      <rPr>
        <b/>
        <vertAlign val="subscript"/>
        <sz val="10"/>
        <color theme="1"/>
        <rFont val="Verdana"/>
        <family val="2"/>
      </rPr>
      <t>air</t>
    </r>
    <r>
      <rPr>
        <b/>
        <sz val="10"/>
        <color theme="1"/>
        <rFont val="Verdana"/>
        <family val="2"/>
      </rPr>
      <t xml:space="preserve"> </t>
    </r>
    <r>
      <rPr>
        <sz val="10"/>
        <color theme="1"/>
        <rFont val="Verdana"/>
        <family val="2"/>
      </rPr>
      <t>= Q</t>
    </r>
    <r>
      <rPr>
        <vertAlign val="subscript"/>
        <sz val="10"/>
        <color theme="1"/>
        <rFont val="Verdana"/>
        <family val="2"/>
      </rPr>
      <t>ai</t>
    </r>
    <r>
      <rPr>
        <sz val="10"/>
        <color theme="1"/>
        <rFont val="Verdana"/>
        <family val="2"/>
      </rPr>
      <t xml:space="preserve"> * VOLUME</t>
    </r>
    <r>
      <rPr>
        <vertAlign val="subscript"/>
        <sz val="10"/>
        <color theme="1"/>
        <rFont val="Verdana"/>
        <family val="2"/>
      </rPr>
      <t>wood-treated</t>
    </r>
    <r>
      <rPr>
        <sz val="10"/>
        <color theme="1"/>
        <rFont val="Verdana"/>
        <family val="2"/>
      </rPr>
      <t xml:space="preserve"> * F</t>
    </r>
    <r>
      <rPr>
        <vertAlign val="subscript"/>
        <sz val="10"/>
        <color theme="1"/>
        <rFont val="Verdana"/>
        <family val="2"/>
      </rPr>
      <t>air</t>
    </r>
    <r>
      <rPr>
        <sz val="10"/>
        <color theme="1"/>
        <rFont val="Verdana"/>
        <family val="2"/>
      </rPr>
      <t xml:space="preserve"> </t>
    </r>
  </si>
  <si>
    <r>
      <t>1. In the "Input" table, insert the value for quantity of the substance applied per m</t>
    </r>
    <r>
      <rPr>
        <vertAlign val="superscript"/>
        <sz val="10"/>
        <rFont val="Verdana"/>
        <family val="2"/>
      </rPr>
      <t>3</t>
    </r>
    <r>
      <rPr>
        <sz val="10"/>
        <rFont val="Verdana"/>
        <family val="2"/>
      </rPr>
      <t xml:space="preserve"> of wood, in kg.m</t>
    </r>
    <r>
      <rPr>
        <vertAlign val="superscript"/>
        <sz val="10"/>
        <rFont val="Verdana"/>
        <family val="2"/>
      </rPr>
      <t>-3</t>
    </r>
    <r>
      <rPr>
        <sz val="10"/>
        <rFont val="Verdana"/>
        <family val="2"/>
      </rPr>
      <t>.</t>
    </r>
  </si>
  <si>
    <r>
      <t>3. Select the substance vapour pressure at 20 °C (Pa); F</t>
    </r>
    <r>
      <rPr>
        <vertAlign val="subscript"/>
        <sz val="10"/>
        <rFont val="Verdana"/>
        <family val="2"/>
      </rPr>
      <t>air</t>
    </r>
    <r>
      <rPr>
        <sz val="10"/>
        <rFont val="Verdana"/>
        <family val="2"/>
      </rPr>
      <t xml:space="preserve"> will be automatically filled in with the corresponding default value.</t>
    </r>
  </si>
  <si>
    <r>
      <t>Average daily flux i.e. the average quantity of a substance that is daily leached out of 1 m</t>
    </r>
    <r>
      <rPr>
        <vertAlign val="superscript"/>
        <sz val="10"/>
        <color theme="1"/>
        <rFont val="Verdana"/>
        <family val="2"/>
      </rPr>
      <t>2</t>
    </r>
    <r>
      <rPr>
        <sz val="10"/>
        <color theme="1"/>
        <rFont val="Verdana"/>
        <family val="2"/>
      </rPr>
      <t xml:space="preserve"> of treated wood during 3 day storage period</t>
    </r>
  </si>
  <si>
    <r>
      <t>mg.L</t>
    </r>
    <r>
      <rPr>
        <vertAlign val="superscript"/>
        <sz val="10"/>
        <color theme="1"/>
        <rFont val="Verdana"/>
        <family val="2"/>
      </rPr>
      <t>-1</t>
    </r>
  </si>
  <si>
    <t xml:space="preserve">Surface area of the storage place </t>
  </si>
  <si>
    <r>
      <t>Average daily flux i.e. the average quantity of a substance that is daily leached out of 1 m</t>
    </r>
    <r>
      <rPr>
        <vertAlign val="superscript"/>
        <sz val="10"/>
        <color theme="1"/>
        <rFont val="Verdana"/>
        <family val="2"/>
      </rPr>
      <t>2</t>
    </r>
    <r>
      <rPr>
        <sz val="10"/>
        <color theme="1"/>
        <rFont val="Verdana"/>
        <family val="2"/>
      </rPr>
      <t xml:space="preserve"> of treated wood during 14 day storage period</t>
    </r>
  </si>
  <si>
    <r>
      <t>FLUX</t>
    </r>
    <r>
      <rPr>
        <vertAlign val="subscript"/>
        <sz val="10"/>
        <color theme="1"/>
        <rFont val="Verdana"/>
        <family val="2"/>
      </rPr>
      <t>storage,dipp</t>
    </r>
  </si>
  <si>
    <t>Volume of (wet) soil</t>
  </si>
  <si>
    <r>
      <rPr>
        <b/>
        <sz val="10"/>
        <color theme="1"/>
        <rFont val="Verdana"/>
        <family val="2"/>
      </rPr>
      <t>Q</t>
    </r>
    <r>
      <rPr>
        <b/>
        <vertAlign val="subscript"/>
        <sz val="10"/>
        <color theme="1"/>
        <rFont val="Verdana"/>
        <family val="2"/>
      </rPr>
      <t>leach,storage,TIME1</t>
    </r>
    <r>
      <rPr>
        <sz val="10"/>
        <color theme="1"/>
        <rFont val="Verdana"/>
        <family val="2"/>
      </rPr>
      <t xml:space="preserve"> = FLUX</t>
    </r>
    <r>
      <rPr>
        <vertAlign val="subscript"/>
        <sz val="10"/>
        <color theme="1"/>
        <rFont val="Verdana"/>
        <family val="2"/>
      </rPr>
      <t>storage,dipp</t>
    </r>
    <r>
      <rPr>
        <sz val="10"/>
        <color theme="1"/>
        <rFont val="Verdana"/>
        <family val="2"/>
      </rPr>
      <t xml:space="preserve"> * AREA</t>
    </r>
    <r>
      <rPr>
        <vertAlign val="subscript"/>
        <sz val="10"/>
        <color theme="1"/>
        <rFont val="Verdana"/>
        <family val="2"/>
      </rPr>
      <t>wood-expo</t>
    </r>
    <r>
      <rPr>
        <sz val="10"/>
        <color theme="1"/>
        <rFont val="Verdana"/>
        <family val="2"/>
      </rPr>
      <t xml:space="preserve"> * AREA</t>
    </r>
    <r>
      <rPr>
        <vertAlign val="subscript"/>
        <sz val="10"/>
        <color theme="1"/>
        <rFont val="Verdana"/>
        <family val="2"/>
      </rPr>
      <t>storage</t>
    </r>
    <r>
      <rPr>
        <sz val="10"/>
        <color theme="1"/>
        <rFont val="Verdana"/>
        <family val="2"/>
      </rPr>
      <t xml:space="preserve"> * TIME1</t>
    </r>
  </si>
  <si>
    <r>
      <rPr>
        <b/>
        <sz val="10"/>
        <color theme="1"/>
        <rFont val="Verdana"/>
        <family val="2"/>
      </rPr>
      <t>Q</t>
    </r>
    <r>
      <rPr>
        <b/>
        <vertAlign val="subscript"/>
        <sz val="10"/>
        <color theme="1"/>
        <rFont val="Verdana"/>
        <family val="2"/>
      </rPr>
      <t>leach,storage,TIME2</t>
    </r>
    <r>
      <rPr>
        <sz val="10"/>
        <color theme="1"/>
        <rFont val="Verdana"/>
        <family val="2"/>
      </rPr>
      <t xml:space="preserve"> = FLUX</t>
    </r>
    <r>
      <rPr>
        <vertAlign val="subscript"/>
        <sz val="10"/>
        <color theme="1"/>
        <rFont val="Verdana"/>
        <family val="2"/>
      </rPr>
      <t>storage,dipp</t>
    </r>
    <r>
      <rPr>
        <sz val="10"/>
        <color theme="1"/>
        <rFont val="Verdana"/>
        <family val="2"/>
      </rPr>
      <t xml:space="preserve"> * AREA</t>
    </r>
    <r>
      <rPr>
        <vertAlign val="subscript"/>
        <sz val="10"/>
        <color theme="1"/>
        <rFont val="Verdana"/>
        <family val="2"/>
      </rPr>
      <t>wood-expo</t>
    </r>
    <r>
      <rPr>
        <sz val="10"/>
        <color theme="1"/>
        <rFont val="Verdana"/>
        <family val="2"/>
      </rPr>
      <t xml:space="preserve"> * AREA</t>
    </r>
    <r>
      <rPr>
        <vertAlign val="subscript"/>
        <sz val="10"/>
        <color theme="1"/>
        <rFont val="Verdana"/>
        <family val="2"/>
      </rPr>
      <t>storage</t>
    </r>
    <r>
      <rPr>
        <sz val="10"/>
        <color theme="1"/>
        <rFont val="Verdana"/>
        <family val="2"/>
      </rPr>
      <t xml:space="preserve"> * TIME2</t>
    </r>
  </si>
  <si>
    <t>Spreadsheet "PT8 -dipping_immersion processes"</t>
  </si>
  <si>
    <t>Table 4.8, p. 57</t>
  </si>
  <si>
    <t>Select vacuum-pressure or double vacuum</t>
  </si>
  <si>
    <t>Vacuum-pressure</t>
  </si>
  <si>
    <t>Double vacuum</t>
  </si>
  <si>
    <t>Low pressure process</t>
  </si>
  <si>
    <t>VOLUMEwood_treated</t>
  </si>
  <si>
    <t>ESD Table 4.2</t>
  </si>
  <si>
    <t>ESD Table 4.3</t>
  </si>
  <si>
    <t>ESD Table 4.5</t>
  </si>
  <si>
    <t>ESD Table 4.8</t>
  </si>
  <si>
    <r>
      <t>Quantity of a substance applied per m</t>
    </r>
    <r>
      <rPr>
        <vertAlign val="superscript"/>
        <sz val="10"/>
        <color theme="1"/>
        <rFont val="Verdana"/>
        <family val="2"/>
      </rPr>
      <t>3</t>
    </r>
    <r>
      <rPr>
        <sz val="10"/>
        <color theme="1"/>
        <rFont val="Verdana"/>
        <family val="2"/>
      </rPr>
      <t xml:space="preserve"> of wood</t>
    </r>
  </si>
  <si>
    <r>
      <t>1. In the "Input" table, select "Vacuum-pressure" or "Double vacuum"; VOLUME</t>
    </r>
    <r>
      <rPr>
        <vertAlign val="subscript"/>
        <sz val="10"/>
        <rFont val="Verdana"/>
        <family val="2"/>
      </rPr>
      <t>wood-treated</t>
    </r>
    <r>
      <rPr>
        <sz val="10"/>
        <rFont val="Verdana"/>
        <family val="2"/>
      </rPr>
      <t xml:space="preserve"> will be automatically filled in with the corresponding default value.</t>
    </r>
  </si>
  <si>
    <r>
      <t>2. Insert the value for quantity of the substance applied per m</t>
    </r>
    <r>
      <rPr>
        <vertAlign val="superscript"/>
        <sz val="10"/>
        <rFont val="Verdana"/>
        <family val="2"/>
      </rPr>
      <t>3</t>
    </r>
    <r>
      <rPr>
        <sz val="10"/>
        <rFont val="Verdana"/>
        <family val="2"/>
      </rPr>
      <t xml:space="preserve"> of wood, in kg.m</t>
    </r>
    <r>
      <rPr>
        <vertAlign val="superscript"/>
        <sz val="10"/>
        <rFont val="Verdana"/>
        <family val="2"/>
      </rPr>
      <t>-3.</t>
    </r>
  </si>
  <si>
    <t>Table 4.9, p. 58</t>
  </si>
  <si>
    <t>Surface area of the storage place</t>
  </si>
  <si>
    <t>ESD Table 4.9</t>
  </si>
  <si>
    <r>
      <t>FLUX</t>
    </r>
    <r>
      <rPr>
        <vertAlign val="subscript"/>
        <sz val="10"/>
        <color theme="1"/>
        <rFont val="Verdana"/>
        <family val="2"/>
      </rPr>
      <t>storage,vac-pres</t>
    </r>
  </si>
  <si>
    <r>
      <rPr>
        <b/>
        <sz val="10"/>
        <color theme="1"/>
        <rFont val="Verdana"/>
        <family val="2"/>
      </rPr>
      <t>Q</t>
    </r>
    <r>
      <rPr>
        <b/>
        <vertAlign val="subscript"/>
        <sz val="10"/>
        <color theme="1"/>
        <rFont val="Verdana"/>
        <family val="2"/>
      </rPr>
      <t>leach,storage,TIME1</t>
    </r>
    <r>
      <rPr>
        <sz val="10"/>
        <color theme="1"/>
        <rFont val="Verdana"/>
        <family val="2"/>
      </rPr>
      <t xml:space="preserve"> = FLUX</t>
    </r>
    <r>
      <rPr>
        <vertAlign val="subscript"/>
        <sz val="10"/>
        <color theme="1"/>
        <rFont val="Verdana"/>
        <family val="2"/>
      </rPr>
      <t>storage,vac-pres</t>
    </r>
    <r>
      <rPr>
        <sz val="10"/>
        <color theme="1"/>
        <rFont val="Verdana"/>
        <family val="2"/>
      </rPr>
      <t xml:space="preserve"> * AREA</t>
    </r>
    <r>
      <rPr>
        <vertAlign val="subscript"/>
        <sz val="10"/>
        <color theme="1"/>
        <rFont val="Verdana"/>
        <family val="2"/>
      </rPr>
      <t>wood-expo</t>
    </r>
    <r>
      <rPr>
        <sz val="10"/>
        <color theme="1"/>
        <rFont val="Verdana"/>
        <family val="2"/>
      </rPr>
      <t xml:space="preserve"> * AREA</t>
    </r>
    <r>
      <rPr>
        <vertAlign val="subscript"/>
        <sz val="10"/>
        <color theme="1"/>
        <rFont val="Verdana"/>
        <family val="2"/>
      </rPr>
      <t>storage</t>
    </r>
    <r>
      <rPr>
        <sz val="10"/>
        <color theme="1"/>
        <rFont val="Verdana"/>
        <family val="2"/>
      </rPr>
      <t xml:space="preserve"> * TIME1</t>
    </r>
  </si>
  <si>
    <r>
      <rPr>
        <b/>
        <sz val="10"/>
        <color theme="1"/>
        <rFont val="Verdana"/>
        <family val="2"/>
      </rPr>
      <t>Q</t>
    </r>
    <r>
      <rPr>
        <b/>
        <vertAlign val="subscript"/>
        <sz val="10"/>
        <color theme="1"/>
        <rFont val="Verdana"/>
        <family val="2"/>
      </rPr>
      <t>leach,storage,TIME2</t>
    </r>
    <r>
      <rPr>
        <sz val="10"/>
        <color theme="1"/>
        <rFont val="Verdana"/>
        <family val="2"/>
      </rPr>
      <t xml:space="preserve"> = FLUX</t>
    </r>
    <r>
      <rPr>
        <vertAlign val="subscript"/>
        <sz val="10"/>
        <color theme="1"/>
        <rFont val="Verdana"/>
        <family val="2"/>
      </rPr>
      <t>storage,vac-pres</t>
    </r>
    <r>
      <rPr>
        <sz val="10"/>
        <color theme="1"/>
        <rFont val="Verdana"/>
        <family val="2"/>
      </rPr>
      <t xml:space="preserve"> * AREA</t>
    </r>
    <r>
      <rPr>
        <vertAlign val="subscript"/>
        <sz val="10"/>
        <color theme="1"/>
        <rFont val="Verdana"/>
        <family val="2"/>
      </rPr>
      <t>wood-expo</t>
    </r>
    <r>
      <rPr>
        <sz val="10"/>
        <color theme="1"/>
        <rFont val="Verdana"/>
        <family val="2"/>
      </rPr>
      <t xml:space="preserve"> * AREA</t>
    </r>
    <r>
      <rPr>
        <vertAlign val="subscript"/>
        <sz val="10"/>
        <color theme="1"/>
        <rFont val="Verdana"/>
        <family val="2"/>
      </rPr>
      <t>storage</t>
    </r>
    <r>
      <rPr>
        <sz val="10"/>
        <color theme="1"/>
        <rFont val="Verdana"/>
        <family val="2"/>
      </rPr>
      <t xml:space="preserve"> * TIME2</t>
    </r>
  </si>
  <si>
    <t>Emission estimation for professional and amateur in situ treatments (curative and preventive) (ESD § 4.2, p.59)</t>
  </si>
  <si>
    <t>Treated wood area</t>
  </si>
  <si>
    <r>
      <t>AREA</t>
    </r>
    <r>
      <rPr>
        <vertAlign val="subscript"/>
        <sz val="10"/>
        <color theme="1"/>
        <rFont val="Verdana"/>
        <family val="2"/>
      </rPr>
      <t>house</t>
    </r>
  </si>
  <si>
    <t>Application rate of the product</t>
  </si>
  <si>
    <r>
      <t>Q</t>
    </r>
    <r>
      <rPr>
        <vertAlign val="subscript"/>
        <sz val="10"/>
        <color theme="1"/>
        <rFont val="Verdana"/>
        <family val="2"/>
      </rPr>
      <t>applic,product</t>
    </r>
  </si>
  <si>
    <r>
      <t>l.m</t>
    </r>
    <r>
      <rPr>
        <vertAlign val="superscript"/>
        <sz val="10"/>
        <color theme="1"/>
        <rFont val="Verdana"/>
        <family val="2"/>
      </rPr>
      <t>-2</t>
    </r>
  </si>
  <si>
    <t>Content of a substance in product</t>
  </si>
  <si>
    <r>
      <t>f</t>
    </r>
    <r>
      <rPr>
        <vertAlign val="subscript"/>
        <sz val="10"/>
        <color theme="1"/>
        <rFont val="Verdana"/>
        <family val="2"/>
      </rPr>
      <t>ai</t>
    </r>
  </si>
  <si>
    <t>Density of product</t>
  </si>
  <si>
    <r>
      <t>RHO</t>
    </r>
    <r>
      <rPr>
        <vertAlign val="subscript"/>
        <sz val="10"/>
        <color theme="1"/>
        <rFont val="Verdana"/>
        <family val="2"/>
      </rPr>
      <t>product</t>
    </r>
  </si>
  <si>
    <t>ESD Table 4.11</t>
  </si>
  <si>
    <t>Select professional user or amateur user</t>
  </si>
  <si>
    <t>Professional user</t>
  </si>
  <si>
    <t>Amateur user</t>
  </si>
  <si>
    <t>Table 4.11, p. 63</t>
  </si>
  <si>
    <t>Type of user</t>
  </si>
  <si>
    <t>Fsoil,brush</t>
  </si>
  <si>
    <t>(wet) soil volume</t>
  </si>
  <si>
    <r>
      <t>kg</t>
    </r>
    <r>
      <rPr>
        <vertAlign val="subscript"/>
        <sz val="10"/>
        <rFont val="Verdana"/>
        <family val="2"/>
      </rPr>
      <t>wwt</t>
    </r>
    <r>
      <rPr>
        <sz val="10"/>
        <rFont val="Verdana"/>
        <family val="2"/>
      </rPr>
      <t>.m</t>
    </r>
    <r>
      <rPr>
        <vertAlign val="superscript"/>
        <sz val="10"/>
        <rFont val="Verdana"/>
        <family val="2"/>
      </rPr>
      <t>-3</t>
    </r>
  </si>
  <si>
    <t>Emission of substance to soil during the day of application</t>
  </si>
  <si>
    <t>Concentration in local soil at the end of the day of application</t>
  </si>
  <si>
    <r>
      <t>AREA</t>
    </r>
    <r>
      <rPr>
        <vertAlign val="subscript"/>
        <sz val="10"/>
        <color theme="1"/>
        <rFont val="Verdana"/>
        <family val="2"/>
      </rPr>
      <t>fence</t>
    </r>
  </si>
  <si>
    <r>
      <t>AREA</t>
    </r>
    <r>
      <rPr>
        <vertAlign val="subscript"/>
        <sz val="10"/>
        <color theme="1"/>
        <rFont val="Verdana"/>
        <family val="2"/>
      </rPr>
      <t>bridge</t>
    </r>
  </si>
  <si>
    <t>House scenario</t>
  </si>
  <si>
    <t>Fence scenario</t>
  </si>
  <si>
    <t>Bridge over pond scenario</t>
  </si>
  <si>
    <t>Water volume under bridge</t>
  </si>
  <si>
    <r>
      <t>V</t>
    </r>
    <r>
      <rPr>
        <vertAlign val="subscript"/>
        <sz val="10"/>
        <color theme="1"/>
        <rFont val="Verdana"/>
        <family val="2"/>
      </rPr>
      <t>water</t>
    </r>
  </si>
  <si>
    <r>
      <t>E</t>
    </r>
    <r>
      <rPr>
        <vertAlign val="subscript"/>
        <sz val="10"/>
        <color theme="1"/>
        <rFont val="Verdana"/>
        <family val="2"/>
      </rPr>
      <t>soil,brush_house</t>
    </r>
  </si>
  <si>
    <r>
      <t>Clocal</t>
    </r>
    <r>
      <rPr>
        <vertAlign val="subscript"/>
        <sz val="10"/>
        <color theme="1"/>
        <rFont val="Verdana"/>
        <family val="2"/>
      </rPr>
      <t>soil,brush_house</t>
    </r>
  </si>
  <si>
    <r>
      <t>E</t>
    </r>
    <r>
      <rPr>
        <vertAlign val="subscript"/>
        <sz val="10"/>
        <color theme="1"/>
        <rFont val="Verdana"/>
        <family val="2"/>
      </rPr>
      <t>soil,brush_fence</t>
    </r>
  </si>
  <si>
    <r>
      <t>Clocal</t>
    </r>
    <r>
      <rPr>
        <vertAlign val="subscript"/>
        <sz val="10"/>
        <color theme="1"/>
        <rFont val="Verdana"/>
        <family val="2"/>
      </rPr>
      <t>soil,brush_fence</t>
    </r>
  </si>
  <si>
    <r>
      <rPr>
        <b/>
        <sz val="10"/>
        <color theme="1"/>
        <rFont val="Verdana"/>
        <family val="2"/>
      </rPr>
      <t>E</t>
    </r>
    <r>
      <rPr>
        <b/>
        <vertAlign val="subscript"/>
        <sz val="10"/>
        <color theme="1"/>
        <rFont val="Verdana"/>
        <family val="2"/>
      </rPr>
      <t>soil,brush_house</t>
    </r>
    <r>
      <rPr>
        <b/>
        <sz val="10"/>
        <color theme="1"/>
        <rFont val="Verdana"/>
        <family val="2"/>
      </rPr>
      <t xml:space="preserve"> </t>
    </r>
    <r>
      <rPr>
        <sz val="10"/>
        <color theme="1"/>
        <rFont val="Verdana"/>
        <family val="2"/>
      </rPr>
      <t>= AREA</t>
    </r>
    <r>
      <rPr>
        <vertAlign val="subscript"/>
        <sz val="10"/>
        <color theme="1"/>
        <rFont val="Verdana"/>
        <family val="2"/>
      </rPr>
      <t>house</t>
    </r>
    <r>
      <rPr>
        <sz val="10"/>
        <color theme="1"/>
        <rFont val="Verdana"/>
        <family val="2"/>
      </rPr>
      <t xml:space="preserve"> * Q</t>
    </r>
    <r>
      <rPr>
        <vertAlign val="subscript"/>
        <sz val="10"/>
        <color theme="1"/>
        <rFont val="Verdana"/>
        <family val="2"/>
      </rPr>
      <t>applic,product</t>
    </r>
    <r>
      <rPr>
        <sz val="10"/>
        <color theme="1"/>
        <rFont val="Verdana"/>
        <family val="2"/>
      </rPr>
      <t xml:space="preserve"> * f</t>
    </r>
    <r>
      <rPr>
        <vertAlign val="subscript"/>
        <sz val="10"/>
        <color theme="1"/>
        <rFont val="Verdana"/>
        <family val="2"/>
      </rPr>
      <t>ai</t>
    </r>
    <r>
      <rPr>
        <sz val="10"/>
        <color theme="1"/>
        <rFont val="Verdana"/>
        <family val="2"/>
      </rPr>
      <t xml:space="preserve"> * RHO</t>
    </r>
    <r>
      <rPr>
        <vertAlign val="subscript"/>
        <sz val="10"/>
        <color theme="1"/>
        <rFont val="Verdana"/>
        <family val="2"/>
      </rPr>
      <t>product</t>
    </r>
    <r>
      <rPr>
        <sz val="10"/>
        <color theme="1"/>
        <rFont val="Verdana"/>
        <family val="2"/>
      </rPr>
      <t xml:space="preserve"> * F</t>
    </r>
    <r>
      <rPr>
        <vertAlign val="subscript"/>
        <sz val="10"/>
        <color theme="1"/>
        <rFont val="Verdana"/>
        <family val="2"/>
      </rPr>
      <t>soil,brush</t>
    </r>
    <r>
      <rPr>
        <sz val="10"/>
        <color theme="1"/>
        <rFont val="Verdana"/>
        <family val="2"/>
      </rPr>
      <t xml:space="preserve"> * 10</t>
    </r>
    <r>
      <rPr>
        <vertAlign val="superscript"/>
        <sz val="10"/>
        <color theme="1"/>
        <rFont val="Verdana"/>
        <family val="2"/>
      </rPr>
      <t>-3</t>
    </r>
  </si>
  <si>
    <r>
      <rPr>
        <b/>
        <sz val="10"/>
        <color theme="1"/>
        <rFont val="Verdana"/>
        <family val="2"/>
      </rPr>
      <t>E</t>
    </r>
    <r>
      <rPr>
        <b/>
        <vertAlign val="subscript"/>
        <sz val="10"/>
        <color theme="1"/>
        <rFont val="Verdana"/>
        <family val="2"/>
      </rPr>
      <t>soil,brush_fence</t>
    </r>
    <r>
      <rPr>
        <b/>
        <sz val="10"/>
        <color theme="1"/>
        <rFont val="Verdana"/>
        <family val="2"/>
      </rPr>
      <t xml:space="preserve"> </t>
    </r>
    <r>
      <rPr>
        <sz val="10"/>
        <color theme="1"/>
        <rFont val="Verdana"/>
        <family val="2"/>
      </rPr>
      <t>= AREA</t>
    </r>
    <r>
      <rPr>
        <vertAlign val="subscript"/>
        <sz val="10"/>
        <color theme="1"/>
        <rFont val="Verdana"/>
        <family val="2"/>
      </rPr>
      <t>fence</t>
    </r>
    <r>
      <rPr>
        <sz val="10"/>
        <color theme="1"/>
        <rFont val="Verdana"/>
        <family val="2"/>
      </rPr>
      <t xml:space="preserve"> * Q</t>
    </r>
    <r>
      <rPr>
        <vertAlign val="subscript"/>
        <sz val="10"/>
        <color theme="1"/>
        <rFont val="Verdana"/>
        <family val="2"/>
      </rPr>
      <t>applic,product</t>
    </r>
    <r>
      <rPr>
        <sz val="10"/>
        <color theme="1"/>
        <rFont val="Verdana"/>
        <family val="2"/>
      </rPr>
      <t xml:space="preserve"> * f</t>
    </r>
    <r>
      <rPr>
        <vertAlign val="subscript"/>
        <sz val="10"/>
        <color theme="1"/>
        <rFont val="Verdana"/>
        <family val="2"/>
      </rPr>
      <t>ai</t>
    </r>
    <r>
      <rPr>
        <sz val="10"/>
        <color theme="1"/>
        <rFont val="Verdana"/>
        <family val="2"/>
      </rPr>
      <t xml:space="preserve"> * RHO</t>
    </r>
    <r>
      <rPr>
        <vertAlign val="subscript"/>
        <sz val="10"/>
        <color theme="1"/>
        <rFont val="Verdana"/>
        <family val="2"/>
      </rPr>
      <t>product</t>
    </r>
    <r>
      <rPr>
        <sz val="10"/>
        <color theme="1"/>
        <rFont val="Verdana"/>
        <family val="2"/>
      </rPr>
      <t xml:space="preserve"> * F</t>
    </r>
    <r>
      <rPr>
        <vertAlign val="subscript"/>
        <sz val="10"/>
        <color theme="1"/>
        <rFont val="Verdana"/>
        <family val="2"/>
      </rPr>
      <t>soil,brush</t>
    </r>
    <r>
      <rPr>
        <sz val="10"/>
        <color theme="1"/>
        <rFont val="Verdana"/>
        <family val="2"/>
      </rPr>
      <t xml:space="preserve"> * 10</t>
    </r>
    <r>
      <rPr>
        <vertAlign val="superscript"/>
        <sz val="10"/>
        <color theme="1"/>
        <rFont val="Verdana"/>
        <family val="2"/>
      </rPr>
      <t>-3</t>
    </r>
  </si>
  <si>
    <r>
      <t>E</t>
    </r>
    <r>
      <rPr>
        <vertAlign val="subscript"/>
        <sz val="10"/>
        <color theme="1"/>
        <rFont val="Verdana"/>
        <family val="2"/>
      </rPr>
      <t>water,brush_bridge</t>
    </r>
  </si>
  <si>
    <r>
      <t>Clocal</t>
    </r>
    <r>
      <rPr>
        <vertAlign val="subscript"/>
        <sz val="10"/>
        <color theme="1"/>
        <rFont val="Verdana"/>
        <family val="2"/>
      </rPr>
      <t>water,brush_bridge</t>
    </r>
  </si>
  <si>
    <r>
      <rPr>
        <b/>
        <sz val="10"/>
        <color theme="1"/>
        <rFont val="Verdana"/>
        <family val="2"/>
      </rPr>
      <t>E</t>
    </r>
    <r>
      <rPr>
        <b/>
        <vertAlign val="subscript"/>
        <sz val="10"/>
        <color theme="1"/>
        <rFont val="Verdana"/>
        <family val="2"/>
      </rPr>
      <t>water,brush_bridge</t>
    </r>
    <r>
      <rPr>
        <b/>
        <sz val="10"/>
        <color theme="1"/>
        <rFont val="Verdana"/>
        <family val="2"/>
      </rPr>
      <t xml:space="preserve"> </t>
    </r>
    <r>
      <rPr>
        <sz val="10"/>
        <color theme="1"/>
        <rFont val="Verdana"/>
        <family val="2"/>
      </rPr>
      <t>= AREA</t>
    </r>
    <r>
      <rPr>
        <vertAlign val="subscript"/>
        <sz val="10"/>
        <color theme="1"/>
        <rFont val="Verdana"/>
        <family val="2"/>
      </rPr>
      <t>bridge</t>
    </r>
    <r>
      <rPr>
        <sz val="10"/>
        <color theme="1"/>
        <rFont val="Verdana"/>
        <family val="2"/>
      </rPr>
      <t xml:space="preserve"> * Q</t>
    </r>
    <r>
      <rPr>
        <vertAlign val="subscript"/>
        <sz val="10"/>
        <color theme="1"/>
        <rFont val="Verdana"/>
        <family val="2"/>
      </rPr>
      <t>applic,product</t>
    </r>
    <r>
      <rPr>
        <sz val="10"/>
        <color theme="1"/>
        <rFont val="Verdana"/>
        <family val="2"/>
      </rPr>
      <t xml:space="preserve"> * f</t>
    </r>
    <r>
      <rPr>
        <vertAlign val="subscript"/>
        <sz val="10"/>
        <color theme="1"/>
        <rFont val="Verdana"/>
        <family val="2"/>
      </rPr>
      <t>ai</t>
    </r>
    <r>
      <rPr>
        <sz val="10"/>
        <color theme="1"/>
        <rFont val="Verdana"/>
        <family val="2"/>
      </rPr>
      <t xml:space="preserve"> * RHO</t>
    </r>
    <r>
      <rPr>
        <vertAlign val="subscript"/>
        <sz val="10"/>
        <color theme="1"/>
        <rFont val="Verdana"/>
        <family val="2"/>
      </rPr>
      <t>product</t>
    </r>
    <r>
      <rPr>
        <sz val="10"/>
        <color theme="1"/>
        <rFont val="Verdana"/>
        <family val="2"/>
      </rPr>
      <t xml:space="preserve"> * F</t>
    </r>
    <r>
      <rPr>
        <vertAlign val="subscript"/>
        <sz val="10"/>
        <color theme="1"/>
        <rFont val="Verdana"/>
        <family val="2"/>
      </rPr>
      <t>water,brush</t>
    </r>
    <r>
      <rPr>
        <sz val="10"/>
        <color theme="1"/>
        <rFont val="Verdana"/>
        <family val="2"/>
      </rPr>
      <t xml:space="preserve"> * 10</t>
    </r>
    <r>
      <rPr>
        <vertAlign val="superscript"/>
        <sz val="10"/>
        <color theme="1"/>
        <rFont val="Verdana"/>
        <family val="2"/>
      </rPr>
      <t>-3</t>
    </r>
  </si>
  <si>
    <t xml:space="preserve">Fraction of product lost to soil/water during application </t>
  </si>
  <si>
    <r>
      <t>F</t>
    </r>
    <r>
      <rPr>
        <vertAlign val="subscript"/>
        <sz val="10"/>
        <color theme="1"/>
        <rFont val="Verdana"/>
        <family val="2"/>
      </rPr>
      <t xml:space="preserve">soil,brush </t>
    </r>
    <r>
      <rPr>
        <sz val="10"/>
        <color theme="1"/>
        <rFont val="Verdana"/>
        <family val="2"/>
      </rPr>
      <t>/ F</t>
    </r>
    <r>
      <rPr>
        <vertAlign val="subscript"/>
        <sz val="10"/>
        <color theme="1"/>
        <rFont val="Verdana"/>
        <family val="2"/>
      </rPr>
      <t>water,brush</t>
    </r>
  </si>
  <si>
    <t>2. Select "Professional user" or "Amateur user"; the fraction of product lost during application (to soil or water, depending on the scenario) will be automatically filled in with the corresponding default value.</t>
  </si>
  <si>
    <t>3. The "Output" table will be automatically filled in with the calculated values for the three scenarios: house scenario, fence scenario and bridge over pond scenario.</t>
  </si>
  <si>
    <t>Leachable wood area</t>
  </si>
  <si>
    <r>
      <t>Cumulative quantity of substance leached out of 1 m</t>
    </r>
    <r>
      <rPr>
        <vertAlign val="superscript"/>
        <sz val="10"/>
        <color theme="1"/>
        <rFont val="Verdana"/>
        <family val="2"/>
      </rPr>
      <t>2</t>
    </r>
    <r>
      <rPr>
        <sz val="10"/>
        <color theme="1"/>
        <rFont val="Verdana"/>
        <family val="2"/>
      </rPr>
      <t xml:space="preserve"> of treated wood over the initial assessment period</t>
    </r>
  </si>
  <si>
    <r>
      <t>Q</t>
    </r>
    <r>
      <rPr>
        <vertAlign val="superscript"/>
        <sz val="10"/>
        <color theme="1"/>
        <rFont val="Verdana"/>
        <family val="2"/>
      </rPr>
      <t>*</t>
    </r>
    <r>
      <rPr>
        <vertAlign val="subscript"/>
        <sz val="10"/>
        <color theme="1"/>
        <rFont val="Verdana"/>
        <family val="2"/>
      </rPr>
      <t>leach,TIME1</t>
    </r>
  </si>
  <si>
    <r>
      <t>Cumulative quantity of substance leached out of 1 m</t>
    </r>
    <r>
      <rPr>
        <vertAlign val="superscript"/>
        <sz val="10"/>
        <color theme="1"/>
        <rFont val="Verdana"/>
        <family val="2"/>
      </rPr>
      <t>2</t>
    </r>
    <r>
      <rPr>
        <sz val="10"/>
        <color theme="1"/>
        <rFont val="Verdana"/>
        <family val="2"/>
      </rPr>
      <t xml:space="preserve"> of treated wood over a longer assessment period</t>
    </r>
  </si>
  <si>
    <r>
      <t>Q</t>
    </r>
    <r>
      <rPr>
        <vertAlign val="superscript"/>
        <sz val="10"/>
        <color theme="1"/>
        <rFont val="Verdana"/>
        <family val="2"/>
      </rPr>
      <t>*</t>
    </r>
    <r>
      <rPr>
        <vertAlign val="subscript"/>
        <sz val="10"/>
        <color theme="1"/>
        <rFont val="Verdana"/>
        <family val="2"/>
      </rPr>
      <t>leach,TIME2</t>
    </r>
  </si>
  <si>
    <t>Soil volume (wet)</t>
  </si>
  <si>
    <t>Cumulative quantity of substance, leached over the initial assessment period</t>
  </si>
  <si>
    <t>Cumulative quantity of substance, leached over a longer assessment period</t>
  </si>
  <si>
    <t>Concentration in local soil at the end of the initial assessment period</t>
  </si>
  <si>
    <t>Concentration in local soil at the end of a longer assessment period</t>
  </si>
  <si>
    <r>
      <t>Q</t>
    </r>
    <r>
      <rPr>
        <vertAlign val="subscript"/>
        <sz val="10"/>
        <color theme="1"/>
        <rFont val="Verdana"/>
        <family val="2"/>
      </rPr>
      <t>leach,TIME1</t>
    </r>
  </si>
  <si>
    <r>
      <t>Q</t>
    </r>
    <r>
      <rPr>
        <vertAlign val="subscript"/>
        <sz val="10"/>
        <color theme="1"/>
        <rFont val="Verdana"/>
        <family val="2"/>
      </rPr>
      <t>leach,TIME2</t>
    </r>
  </si>
  <si>
    <r>
      <t>Clocal</t>
    </r>
    <r>
      <rPr>
        <vertAlign val="subscript"/>
        <sz val="10"/>
        <color theme="1"/>
        <rFont val="Verdana"/>
        <family val="2"/>
      </rPr>
      <t>soil,leach,TIME1</t>
    </r>
  </si>
  <si>
    <r>
      <t>Clocal</t>
    </r>
    <r>
      <rPr>
        <vertAlign val="subscript"/>
        <sz val="10"/>
        <color theme="1"/>
        <rFont val="Verdana"/>
        <family val="2"/>
      </rPr>
      <t>soil,leach,TIME2</t>
    </r>
  </si>
  <si>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house</t>
    </r>
    <r>
      <rPr>
        <sz val="10"/>
        <color theme="1"/>
        <rFont val="Verdana"/>
        <family val="2"/>
      </rPr>
      <t xml:space="preserve"> * Q</t>
    </r>
    <r>
      <rPr>
        <vertAlign val="superscript"/>
        <sz val="10"/>
        <color theme="1"/>
        <rFont val="Verdana"/>
        <family val="2"/>
      </rPr>
      <t>*</t>
    </r>
    <r>
      <rPr>
        <vertAlign val="subscript"/>
        <sz val="10"/>
        <color theme="1"/>
        <rFont val="Verdana"/>
        <family val="2"/>
      </rPr>
      <t>leach,TIME1</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</si>
  <si>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house</t>
    </r>
    <r>
      <rPr>
        <sz val="10"/>
        <color theme="1"/>
        <rFont val="Verdana"/>
        <family val="2"/>
      </rPr>
      <t xml:space="preserve"> * Q</t>
    </r>
    <r>
      <rPr>
        <vertAlign val="superscript"/>
        <sz val="10"/>
        <color theme="1"/>
        <rFont val="Verdana"/>
        <family val="2"/>
      </rPr>
      <t>*</t>
    </r>
    <r>
      <rPr>
        <vertAlign val="subscript"/>
        <sz val="10"/>
        <color theme="1"/>
        <rFont val="Verdana"/>
        <family val="2"/>
      </rPr>
      <t>leach,TIME2</t>
    </r>
  </si>
  <si>
    <r>
      <rPr>
        <b/>
        <sz val="10"/>
        <color theme="1"/>
        <rFont val="Verdana"/>
        <family val="2"/>
      </rPr>
      <t>Clocal</t>
    </r>
    <r>
      <rPr>
        <b/>
        <vertAlign val="subscript"/>
        <sz val="10"/>
        <color theme="1"/>
        <rFont val="Verdana"/>
        <family val="2"/>
      </rPr>
      <t>soil,leach,TIME2</t>
    </r>
    <r>
      <rPr>
        <sz val="10"/>
        <color theme="1"/>
        <rFont val="Verdana"/>
        <family val="2"/>
      </rPr>
      <t xml:space="preserve"> = Q</t>
    </r>
    <r>
      <rPr>
        <vertAlign val="subscript"/>
        <sz val="10"/>
        <color theme="1"/>
        <rFont val="Verdana"/>
        <family val="2"/>
      </rPr>
      <t>leach,TIME2</t>
    </r>
    <r>
      <rPr>
        <sz val="10"/>
        <color theme="1"/>
        <rFont val="Verdana"/>
        <family val="2"/>
      </rPr>
      <t xml:space="preserve"> /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</si>
  <si>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rPr>
        <b/>
        <sz val="10"/>
        <color theme="1"/>
        <rFont val="Verdana"/>
        <family val="2"/>
      </rPr>
      <t>Clocal</t>
    </r>
    <r>
      <rPr>
        <b/>
        <vertAlign val="subscript"/>
        <sz val="10"/>
        <color theme="1"/>
        <rFont val="Verdana"/>
        <family val="2"/>
      </rPr>
      <t>soil,leach,TIME1</t>
    </r>
    <r>
      <rPr>
        <sz val="10"/>
        <color theme="1"/>
        <rFont val="Verdana"/>
        <family val="2"/>
      </rPr>
      <t xml:space="preserve"> = Q</t>
    </r>
    <r>
      <rPr>
        <vertAlign val="subscript"/>
        <sz val="10"/>
        <color theme="1"/>
        <rFont val="Verdana"/>
        <family val="2"/>
      </rPr>
      <t>leach,TIME1</t>
    </r>
    <r>
      <rPr>
        <sz val="10"/>
        <color theme="1"/>
        <rFont val="Verdana"/>
        <family val="2"/>
      </rPr>
      <t xml:space="preserve"> /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</si>
  <si>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t>Clocal</t>
    </r>
    <r>
      <rPr>
        <vertAlign val="subscript"/>
        <sz val="10"/>
        <rFont val="Verdana"/>
        <family val="2"/>
      </rPr>
      <t>soil,total,TIME1</t>
    </r>
  </si>
  <si>
    <r>
      <t>Clocal</t>
    </r>
    <r>
      <rPr>
        <vertAlign val="subscript"/>
        <sz val="10"/>
        <rFont val="Verdana"/>
        <family val="2"/>
      </rPr>
      <t>soil,total,TIME2</t>
    </r>
  </si>
  <si>
    <t>Total concentration in local soil at the end of the initial assessment period: emission from application + leaching at the end of the initial assessment period</t>
  </si>
  <si>
    <t>2. The "Output" table will be automatically filled in with the calculated values.</t>
  </si>
  <si>
    <r>
      <t>AREA</t>
    </r>
    <r>
      <rPr>
        <vertAlign val="subscript"/>
        <sz val="10"/>
        <color theme="1"/>
        <rFont val="Verdana"/>
        <family val="2"/>
      </rPr>
      <t>noise-barrier</t>
    </r>
  </si>
  <si>
    <t>Fraction released to soil</t>
  </si>
  <si>
    <t>Fraction released to the STP</t>
  </si>
  <si>
    <r>
      <t>F</t>
    </r>
    <r>
      <rPr>
        <vertAlign val="subscript"/>
        <sz val="10"/>
        <color theme="1"/>
        <rFont val="Verdana"/>
        <family val="2"/>
      </rPr>
      <t>soil</t>
    </r>
  </si>
  <si>
    <r>
      <t>F</t>
    </r>
    <r>
      <rPr>
        <vertAlign val="subscript"/>
        <sz val="10"/>
        <color theme="1"/>
        <rFont val="Verdana"/>
        <family val="2"/>
      </rPr>
      <t>STP</t>
    </r>
  </si>
  <si>
    <t>Local daily emission rate to the STP following leaching from treated wood during the initial assessment period</t>
  </si>
  <si>
    <t>Local daily emission rate to the STP following leaching from treated wood during the longer assessment period</t>
  </si>
  <si>
    <r>
      <t>E</t>
    </r>
    <r>
      <rPr>
        <vertAlign val="subscript"/>
        <sz val="10"/>
        <color theme="1"/>
        <rFont val="Verdana"/>
        <family val="2"/>
      </rPr>
      <t>STP,TIME1</t>
    </r>
  </si>
  <si>
    <r>
      <t>E</t>
    </r>
    <r>
      <rPr>
        <vertAlign val="subscript"/>
        <sz val="10"/>
        <color theme="1"/>
        <rFont val="Verdana"/>
        <family val="2"/>
      </rPr>
      <t>STP,TIME2</t>
    </r>
  </si>
  <si>
    <t>Emissions to soil</t>
  </si>
  <si>
    <t>Emissions to STP</t>
  </si>
  <si>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noise-barrier</t>
    </r>
    <r>
      <rPr>
        <sz val="10"/>
        <color theme="1"/>
        <rFont val="Verdana"/>
        <family val="2"/>
      </rPr>
      <t xml:space="preserve"> * F</t>
    </r>
    <r>
      <rPr>
        <vertAlign val="subscript"/>
        <sz val="10"/>
        <color theme="1"/>
        <rFont val="Verdana"/>
        <family val="2"/>
      </rPr>
      <t>Soil</t>
    </r>
    <r>
      <rPr>
        <sz val="10"/>
        <color theme="1"/>
        <rFont val="Verdana"/>
        <family val="2"/>
      </rPr>
      <t xml:space="preserve"> * Q</t>
    </r>
    <r>
      <rPr>
        <vertAlign val="superscript"/>
        <sz val="10"/>
        <color theme="1"/>
        <rFont val="Verdana"/>
        <family val="2"/>
      </rPr>
      <t>*</t>
    </r>
    <r>
      <rPr>
        <vertAlign val="subscript"/>
        <sz val="10"/>
        <color theme="1"/>
        <rFont val="Verdana"/>
        <family val="2"/>
      </rPr>
      <t>leach,TIME1</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</si>
  <si>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noise-barrier</t>
    </r>
    <r>
      <rPr>
        <sz val="10"/>
        <color theme="1"/>
        <rFont val="Verdana"/>
        <family val="2"/>
      </rPr>
      <t xml:space="preserve"> * F</t>
    </r>
    <r>
      <rPr>
        <vertAlign val="subscript"/>
        <sz val="10"/>
        <color theme="1"/>
        <rFont val="Verdana"/>
        <family val="2"/>
      </rPr>
      <t>Soil</t>
    </r>
    <r>
      <rPr>
        <sz val="10"/>
        <color theme="1"/>
        <rFont val="Verdana"/>
        <family val="2"/>
      </rPr>
      <t xml:space="preserve"> * Q</t>
    </r>
    <r>
      <rPr>
        <vertAlign val="superscript"/>
        <sz val="10"/>
        <color theme="1"/>
        <rFont val="Verdana"/>
        <family val="2"/>
      </rPr>
      <t>*</t>
    </r>
    <r>
      <rPr>
        <vertAlign val="subscript"/>
        <sz val="10"/>
        <color theme="1"/>
        <rFont val="Verdana"/>
        <family val="2"/>
      </rPr>
      <t>leach,TIME2</t>
    </r>
  </si>
  <si>
    <r>
      <rPr>
        <b/>
        <sz val="10"/>
        <color theme="1"/>
        <rFont val="Verdana"/>
        <family val="2"/>
      </rPr>
      <t>E</t>
    </r>
    <r>
      <rPr>
        <b/>
        <vertAlign val="subscript"/>
        <sz val="10"/>
        <color theme="1"/>
        <rFont val="Verdana"/>
        <family val="2"/>
      </rPr>
      <t>STP,TIME1</t>
    </r>
    <r>
      <rPr>
        <sz val="10"/>
        <color theme="1"/>
        <rFont val="Verdana"/>
        <family val="2"/>
      </rPr>
      <t xml:space="preserve"> = AREA</t>
    </r>
    <r>
      <rPr>
        <vertAlign val="subscript"/>
        <sz val="10"/>
        <color theme="1"/>
        <rFont val="Verdana"/>
        <family val="2"/>
      </rPr>
      <t>noise-barrier</t>
    </r>
    <r>
      <rPr>
        <sz val="10"/>
        <color theme="1"/>
        <rFont val="Verdana"/>
        <family val="2"/>
      </rPr>
      <t xml:space="preserve"> * F</t>
    </r>
    <r>
      <rPr>
        <vertAlign val="subscript"/>
        <sz val="10"/>
        <color theme="1"/>
        <rFont val="Verdana"/>
        <family val="2"/>
      </rPr>
      <t>STP</t>
    </r>
    <r>
      <rPr>
        <sz val="10"/>
        <color theme="1"/>
        <rFont val="Verdana"/>
        <family val="2"/>
      </rPr>
      <t xml:space="preserve"> * Q</t>
    </r>
    <r>
      <rPr>
        <vertAlign val="superscript"/>
        <sz val="10"/>
        <color theme="1"/>
        <rFont val="Verdana"/>
        <family val="2"/>
      </rPr>
      <t>*</t>
    </r>
    <r>
      <rPr>
        <vertAlign val="subscript"/>
        <sz val="10"/>
        <color theme="1"/>
        <rFont val="Verdana"/>
        <family val="2"/>
      </rPr>
      <t>leach,TIME1</t>
    </r>
    <r>
      <rPr>
        <sz val="10"/>
        <color theme="1"/>
        <rFont val="Verdana"/>
        <family val="2"/>
      </rPr>
      <t>/TIME1</t>
    </r>
  </si>
  <si>
    <r>
      <rPr>
        <b/>
        <sz val="10"/>
        <color theme="1"/>
        <rFont val="Verdana"/>
        <family val="2"/>
      </rPr>
      <t>E</t>
    </r>
    <r>
      <rPr>
        <b/>
        <vertAlign val="subscript"/>
        <sz val="10"/>
        <color theme="1"/>
        <rFont val="Verdana"/>
        <family val="2"/>
      </rPr>
      <t>STP,TIME2</t>
    </r>
    <r>
      <rPr>
        <sz val="10"/>
        <color theme="1"/>
        <rFont val="Verdana"/>
        <family val="2"/>
      </rPr>
      <t xml:space="preserve"> = AREA</t>
    </r>
    <r>
      <rPr>
        <vertAlign val="subscript"/>
        <sz val="10"/>
        <color theme="1"/>
        <rFont val="Verdana"/>
        <family val="2"/>
      </rPr>
      <t>noise-barrier</t>
    </r>
    <r>
      <rPr>
        <sz val="10"/>
        <color theme="1"/>
        <rFont val="Verdana"/>
        <family val="2"/>
      </rPr>
      <t xml:space="preserve"> * F</t>
    </r>
    <r>
      <rPr>
        <vertAlign val="subscript"/>
        <sz val="10"/>
        <color theme="1"/>
        <rFont val="Verdana"/>
        <family val="2"/>
      </rPr>
      <t>STP</t>
    </r>
    <r>
      <rPr>
        <sz val="10"/>
        <color theme="1"/>
        <rFont val="Verdana"/>
        <family val="2"/>
      </rPr>
      <t xml:space="preserve"> * Q</t>
    </r>
    <r>
      <rPr>
        <vertAlign val="superscript"/>
        <sz val="10"/>
        <color theme="1"/>
        <rFont val="Verdana"/>
        <family val="2"/>
      </rPr>
      <t>*</t>
    </r>
    <r>
      <rPr>
        <vertAlign val="subscript"/>
        <sz val="10"/>
        <color theme="1"/>
        <rFont val="Verdana"/>
        <family val="2"/>
      </rPr>
      <t>leach,TIME2</t>
    </r>
    <r>
      <rPr>
        <sz val="10"/>
        <color theme="1"/>
        <rFont val="Verdana"/>
        <family val="2"/>
      </rPr>
      <t>/TIME2</t>
    </r>
  </si>
  <si>
    <r>
      <t>Clocal</t>
    </r>
    <r>
      <rPr>
        <vertAlign val="subscript"/>
        <sz val="10"/>
        <color theme="1"/>
        <rFont val="Verdana"/>
        <family val="2"/>
      </rPr>
      <t>water,leach,TIME1</t>
    </r>
  </si>
  <si>
    <r>
      <t>Clocal</t>
    </r>
    <r>
      <rPr>
        <vertAlign val="subscript"/>
        <sz val="10"/>
        <color theme="1"/>
        <rFont val="Verdana"/>
        <family val="2"/>
      </rPr>
      <t>water,leach,TIME2</t>
    </r>
  </si>
  <si>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bridge</t>
    </r>
    <r>
      <rPr>
        <sz val="10"/>
        <color theme="1"/>
        <rFont val="Verdana"/>
        <family val="2"/>
      </rPr>
      <t xml:space="preserve"> *</t>
    </r>
    <r>
      <rPr>
        <sz val="10"/>
        <color theme="1"/>
        <rFont val="Verdana"/>
        <family val="2"/>
      </rPr>
      <t xml:space="preserve"> Q</t>
    </r>
    <r>
      <rPr>
        <vertAlign val="superscript"/>
        <sz val="10"/>
        <color theme="1"/>
        <rFont val="Verdana"/>
        <family val="2"/>
      </rPr>
      <t>*</t>
    </r>
    <r>
      <rPr>
        <vertAlign val="subscript"/>
        <sz val="10"/>
        <color theme="1"/>
        <rFont val="Verdana"/>
        <family val="2"/>
      </rPr>
      <t>leach,TIME1</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</si>
  <si>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bridge</t>
    </r>
    <r>
      <rPr>
        <sz val="10"/>
        <color theme="1"/>
        <rFont val="Verdana"/>
        <family val="2"/>
      </rPr>
      <t xml:space="preserve"> * </t>
    </r>
    <r>
      <rPr>
        <sz val="10"/>
        <color theme="1"/>
        <rFont val="Verdana"/>
        <family val="2"/>
      </rPr>
      <t>Q</t>
    </r>
    <r>
      <rPr>
        <vertAlign val="superscript"/>
        <sz val="10"/>
        <color theme="1"/>
        <rFont val="Verdana"/>
        <family val="2"/>
      </rPr>
      <t>*</t>
    </r>
    <r>
      <rPr>
        <vertAlign val="subscript"/>
        <sz val="10"/>
        <color theme="1"/>
        <rFont val="Verdana"/>
        <family val="2"/>
      </rPr>
      <t>leach,TIME2</t>
    </r>
  </si>
  <si>
    <t>Leachable wood area poles</t>
  </si>
  <si>
    <t>Leachable wood area planks</t>
  </si>
  <si>
    <r>
      <t>AREA</t>
    </r>
    <r>
      <rPr>
        <vertAlign val="subscript"/>
        <sz val="10"/>
        <color theme="1"/>
        <rFont val="Verdana"/>
        <family val="2"/>
      </rPr>
      <t>planks</t>
    </r>
  </si>
  <si>
    <r>
      <t>AREA</t>
    </r>
    <r>
      <rPr>
        <vertAlign val="subscript"/>
        <sz val="10"/>
        <color theme="1"/>
        <rFont val="Verdana"/>
        <family val="2"/>
      </rPr>
      <t>poles</t>
    </r>
  </si>
  <si>
    <t>Emission of substance to water during the day of application</t>
  </si>
  <si>
    <t>Concentration in local water at the end of the day of application</t>
  </si>
  <si>
    <t>Water volume</t>
  </si>
  <si>
    <t>Concentration in local water at the end of the initial assessment period</t>
  </si>
  <si>
    <t>Concentration in local water at the end of a longer assessment period</t>
  </si>
  <si>
    <r>
      <rPr>
        <b/>
        <sz val="10"/>
        <color theme="1"/>
        <rFont val="Verdana"/>
        <family val="2"/>
      </rPr>
      <t>Clocal</t>
    </r>
    <r>
      <rPr>
        <b/>
        <vertAlign val="subscript"/>
        <sz val="10"/>
        <color theme="1"/>
        <rFont val="Verdana"/>
        <family val="2"/>
      </rPr>
      <t>water,leach,TIME1</t>
    </r>
    <r>
      <rPr>
        <sz val="10"/>
        <color theme="1"/>
        <rFont val="Verdana"/>
        <family val="2"/>
      </rPr>
      <t xml:space="preserve"> = Q</t>
    </r>
    <r>
      <rPr>
        <vertAlign val="subscript"/>
        <sz val="10"/>
        <color theme="1"/>
        <rFont val="Verdana"/>
        <family val="2"/>
      </rPr>
      <t>leach,TIME1</t>
    </r>
    <r>
      <rPr>
        <sz val="10"/>
        <color theme="1"/>
        <rFont val="Verdana"/>
        <family val="2"/>
      </rPr>
      <t xml:space="preserve"> / V</t>
    </r>
    <r>
      <rPr>
        <vertAlign val="subscript"/>
        <sz val="10"/>
        <color theme="1"/>
        <rFont val="Verdana"/>
        <family val="2"/>
      </rPr>
      <t>water</t>
    </r>
    <r>
      <rPr>
        <sz val="10"/>
        <color theme="1"/>
        <rFont val="Verdana"/>
        <family val="2"/>
      </rPr>
      <t xml:space="preserve"> </t>
    </r>
  </si>
  <si>
    <r>
      <rPr>
        <b/>
        <sz val="10"/>
        <color theme="1"/>
        <rFont val="Verdana"/>
        <family val="2"/>
      </rPr>
      <t>Clocal</t>
    </r>
    <r>
      <rPr>
        <b/>
        <vertAlign val="subscript"/>
        <sz val="10"/>
        <color theme="1"/>
        <rFont val="Verdana"/>
        <family val="2"/>
      </rPr>
      <t>water,leach,TIME2</t>
    </r>
    <r>
      <rPr>
        <sz val="10"/>
        <color theme="1"/>
        <rFont val="Verdana"/>
        <family val="2"/>
      </rPr>
      <t xml:space="preserve"> = Q</t>
    </r>
    <r>
      <rPr>
        <vertAlign val="subscript"/>
        <sz val="10"/>
        <color theme="1"/>
        <rFont val="Verdana"/>
        <family val="2"/>
      </rPr>
      <t>leach,TIME2</t>
    </r>
    <r>
      <rPr>
        <sz val="10"/>
        <color theme="1"/>
        <rFont val="Verdana"/>
        <family val="2"/>
      </rPr>
      <t xml:space="preserve"> / V</t>
    </r>
    <r>
      <rPr>
        <vertAlign val="subscript"/>
        <sz val="10"/>
        <color theme="1"/>
        <rFont val="Verdana"/>
        <family val="2"/>
      </rPr>
      <t>water</t>
    </r>
    <r>
      <rPr>
        <sz val="10"/>
        <color theme="1"/>
        <rFont val="Verdana"/>
        <family val="2"/>
      </rPr>
      <t xml:space="preserve"> </t>
    </r>
  </si>
  <si>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planks</t>
    </r>
    <r>
      <rPr>
        <sz val="10"/>
        <color theme="1"/>
        <rFont val="Verdana"/>
        <family val="2"/>
      </rPr>
      <t xml:space="preserve"> + AREA</t>
    </r>
    <r>
      <rPr>
        <vertAlign val="subscript"/>
        <sz val="10"/>
        <color theme="1"/>
        <rFont val="Verdana"/>
        <family val="2"/>
      </rPr>
      <t>poles</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leach,TIME1</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</si>
  <si>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planks</t>
    </r>
    <r>
      <rPr>
        <sz val="10"/>
        <color theme="1"/>
        <rFont val="Verdana"/>
        <family val="2"/>
      </rPr>
      <t xml:space="preserve"> + AREA</t>
    </r>
    <r>
      <rPr>
        <vertAlign val="subscript"/>
        <sz val="10"/>
        <color theme="1"/>
        <rFont val="Verdana"/>
        <family val="2"/>
      </rPr>
      <t>poles</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leach,TIME2</t>
    </r>
  </si>
  <si>
    <t>Wood area per m waterway length</t>
  </si>
  <si>
    <t>Water volume per m waterway length</t>
  </si>
  <si>
    <t>Residence time of water in waterway</t>
  </si>
  <si>
    <r>
      <t>TAU</t>
    </r>
    <r>
      <rPr>
        <vertAlign val="subscript"/>
        <sz val="10"/>
        <color theme="1"/>
        <rFont val="Verdana"/>
        <family val="2"/>
      </rPr>
      <t>wway</t>
    </r>
  </si>
  <si>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 xml:space="preserve">poles </t>
    </r>
    <r>
      <rPr>
        <sz val="10"/>
        <color theme="1"/>
        <rFont val="Verdana"/>
        <family val="2"/>
      </rPr>
      <t>* Q</t>
    </r>
    <r>
      <rPr>
        <vertAlign val="superscript"/>
        <sz val="10"/>
        <color theme="1"/>
        <rFont val="Verdana"/>
        <family val="2"/>
      </rPr>
      <t>*</t>
    </r>
    <r>
      <rPr>
        <vertAlign val="subscript"/>
        <sz val="10"/>
        <color theme="1"/>
        <rFont val="Verdana"/>
        <family val="2"/>
      </rPr>
      <t>leach,TIME1</t>
    </r>
    <r>
      <rPr>
        <sz val="10"/>
        <color theme="1"/>
        <rFont val="Verdana"/>
        <family val="2"/>
      </rPr>
      <t>/TIME1 * TAU</t>
    </r>
    <r>
      <rPr>
        <vertAlign val="subscript"/>
        <sz val="10"/>
        <color theme="1"/>
        <rFont val="Verdana"/>
        <family val="2"/>
      </rPr>
      <t>wway</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</si>
  <si>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 xml:space="preserve">poles </t>
    </r>
    <r>
      <rPr>
        <sz val="10"/>
        <color theme="1"/>
        <rFont val="Verdana"/>
        <family val="2"/>
      </rPr>
      <t>* Q</t>
    </r>
    <r>
      <rPr>
        <vertAlign val="superscript"/>
        <sz val="10"/>
        <color theme="1"/>
        <rFont val="Verdana"/>
        <family val="2"/>
      </rPr>
      <t>*</t>
    </r>
    <r>
      <rPr>
        <vertAlign val="subscript"/>
        <sz val="10"/>
        <color theme="1"/>
        <rFont val="Verdana"/>
        <family val="2"/>
      </rPr>
      <t>leach,TIME2</t>
    </r>
    <r>
      <rPr>
        <sz val="10"/>
        <color theme="1"/>
        <rFont val="Verdana"/>
        <family val="2"/>
      </rPr>
      <t>/TIME2 * TAU</t>
    </r>
    <r>
      <rPr>
        <vertAlign val="subscript"/>
        <sz val="10"/>
        <color theme="1"/>
        <rFont val="Verdana"/>
        <family val="2"/>
      </rPr>
      <t>wway</t>
    </r>
  </si>
  <si>
    <t>Residence time of water in harbour</t>
  </si>
  <si>
    <r>
      <t>TAU</t>
    </r>
    <r>
      <rPr>
        <vertAlign val="subscript"/>
        <sz val="10"/>
        <color theme="1"/>
        <rFont val="Verdana"/>
        <family val="2"/>
      </rPr>
      <t>seawater</t>
    </r>
  </si>
  <si>
    <r>
      <t>Clocal</t>
    </r>
    <r>
      <rPr>
        <vertAlign val="subscript"/>
        <sz val="10"/>
        <color theme="1"/>
        <rFont val="Verdana"/>
        <family val="2"/>
      </rPr>
      <t>seawater,leach,TIME1</t>
    </r>
  </si>
  <si>
    <r>
      <t>Clocal</t>
    </r>
    <r>
      <rPr>
        <vertAlign val="subscript"/>
        <sz val="10"/>
        <color theme="1"/>
        <rFont val="Verdana"/>
        <family val="2"/>
      </rPr>
      <t>seawater,leach,TIME2</t>
    </r>
  </si>
  <si>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planks</t>
    </r>
    <r>
      <rPr>
        <sz val="10"/>
        <color theme="1"/>
        <rFont val="Verdana"/>
        <family val="2"/>
      </rPr>
      <t xml:space="preserve"> + AREA</t>
    </r>
    <r>
      <rPr>
        <vertAlign val="subscript"/>
        <sz val="10"/>
        <color theme="1"/>
        <rFont val="Verdana"/>
        <family val="2"/>
      </rPr>
      <t>poles</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 xml:space="preserve">leach,TIME1 </t>
    </r>
    <r>
      <rPr>
        <sz val="10"/>
        <color theme="1"/>
        <rFont val="Verdana"/>
        <family val="2"/>
      </rPr>
      <t>/ TIME1 ] * TAU</t>
    </r>
    <r>
      <rPr>
        <vertAlign val="subscript"/>
        <sz val="10"/>
        <color theme="1"/>
        <rFont val="Verdana"/>
        <family val="2"/>
      </rPr>
      <t>seawater</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</si>
  <si>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planks</t>
    </r>
    <r>
      <rPr>
        <sz val="10"/>
        <color theme="1"/>
        <rFont val="Verdana"/>
        <family val="2"/>
      </rPr>
      <t xml:space="preserve"> + AREA</t>
    </r>
    <r>
      <rPr>
        <vertAlign val="subscript"/>
        <sz val="10"/>
        <color theme="1"/>
        <rFont val="Verdana"/>
        <family val="2"/>
      </rPr>
      <t>poles</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 xml:space="preserve">leach,TIME2 </t>
    </r>
    <r>
      <rPr>
        <sz val="10"/>
        <color theme="1"/>
        <rFont val="Verdana"/>
        <family val="2"/>
      </rPr>
      <t>/ TIME2 ] * TAU</t>
    </r>
    <r>
      <rPr>
        <vertAlign val="subscript"/>
        <sz val="10"/>
        <color theme="1"/>
        <rFont val="Verdana"/>
        <family val="2"/>
      </rPr>
      <t>seawater</t>
    </r>
  </si>
  <si>
    <t xml:space="preserve">Period during release to outdoor air after treatment </t>
  </si>
  <si>
    <r>
      <t>T</t>
    </r>
    <r>
      <rPr>
        <vertAlign val="subscript"/>
        <sz val="10"/>
        <color theme="1"/>
        <rFont val="Verdana"/>
        <family val="2"/>
      </rPr>
      <t>release</t>
    </r>
  </si>
  <si>
    <t xml:space="preserve">Total room fumigation volume </t>
  </si>
  <si>
    <r>
      <t>V</t>
    </r>
    <r>
      <rPr>
        <vertAlign val="subscript"/>
        <sz val="10"/>
        <color theme="1"/>
        <rFont val="Verdana"/>
        <family val="2"/>
      </rPr>
      <t>fumigated</t>
    </r>
  </si>
  <si>
    <t>Pick-list: ESD Table 4.27</t>
  </si>
  <si>
    <t>Type of room</t>
  </si>
  <si>
    <t>Select type of room</t>
  </si>
  <si>
    <t>Table 4.27, p.88</t>
  </si>
  <si>
    <t>Vfumigated</t>
  </si>
  <si>
    <t>Chamber/container</t>
  </si>
  <si>
    <t>Small room (e.g. museum)</t>
  </si>
  <si>
    <t>Big volume (e.g. church)</t>
  </si>
  <si>
    <t>Fraction of retention in goods</t>
  </si>
  <si>
    <t>Fraction of disintegration</t>
  </si>
  <si>
    <r>
      <t>F</t>
    </r>
    <r>
      <rPr>
        <vertAlign val="subscript"/>
        <sz val="10"/>
        <color theme="1"/>
        <rFont val="Verdana"/>
        <family val="2"/>
      </rPr>
      <t>ret</t>
    </r>
  </si>
  <si>
    <r>
      <t>F</t>
    </r>
    <r>
      <rPr>
        <vertAlign val="subscript"/>
        <sz val="10"/>
        <color theme="1"/>
        <rFont val="Verdana"/>
        <family val="2"/>
      </rPr>
      <t>dis</t>
    </r>
  </si>
  <si>
    <t>Emission rate of substance to atmosphere after fumigation</t>
  </si>
  <si>
    <r>
      <t>E</t>
    </r>
    <r>
      <rPr>
        <vertAlign val="subscript"/>
        <sz val="10"/>
        <color theme="1"/>
        <rFont val="Verdana"/>
        <family val="2"/>
      </rPr>
      <t>atm,fumi</t>
    </r>
  </si>
  <si>
    <r>
      <t>1. In the "Input" table, insert Q</t>
    </r>
    <r>
      <rPr>
        <vertAlign val="subscript"/>
        <sz val="10"/>
        <rFont val="Verdana"/>
        <family val="2"/>
      </rPr>
      <t>applic,product</t>
    </r>
    <r>
      <rPr>
        <sz val="10"/>
        <rFont val="Verdana"/>
        <family val="2"/>
      </rPr>
      <t>, f</t>
    </r>
    <r>
      <rPr>
        <vertAlign val="subscript"/>
        <sz val="10"/>
        <rFont val="Verdana"/>
        <family val="2"/>
      </rPr>
      <t>ai</t>
    </r>
    <r>
      <rPr>
        <sz val="10"/>
        <rFont val="Verdana"/>
        <family val="2"/>
      </rPr>
      <t xml:space="preserve"> and T</t>
    </r>
    <r>
      <rPr>
        <vertAlign val="subscript"/>
        <sz val="10"/>
        <rFont val="Verdana"/>
        <family val="2"/>
      </rPr>
      <t>release</t>
    </r>
    <r>
      <rPr>
        <sz val="10"/>
        <rFont val="Verdana"/>
        <family val="2"/>
      </rPr>
      <t xml:space="preserve"> values.</t>
    </r>
  </si>
  <si>
    <r>
      <t>2. Select the type of room; the V</t>
    </r>
    <r>
      <rPr>
        <vertAlign val="subscript"/>
        <sz val="10"/>
        <rFont val="Verdana"/>
        <family val="2"/>
      </rPr>
      <t>fumigated</t>
    </r>
    <r>
      <rPr>
        <sz val="10"/>
        <rFont val="Verdana"/>
        <family val="2"/>
      </rPr>
      <t xml:space="preserve"> will be automatically filled in with the corresponding default value.</t>
    </r>
  </si>
  <si>
    <t>3. The "Output" table will be automatically filled in with the calculated values.</t>
  </si>
  <si>
    <t>Treated wood area per day</t>
  </si>
  <si>
    <r>
      <t>AREA</t>
    </r>
    <r>
      <rPr>
        <vertAlign val="subscript"/>
        <sz val="10"/>
        <color theme="1"/>
        <rFont val="Verdana"/>
        <family val="2"/>
      </rPr>
      <t>pole,inj</t>
    </r>
  </si>
  <si>
    <t xml:space="preserve">Application rate of the product </t>
  </si>
  <si>
    <t>Fraction of product lost/emitted during application due to dripping</t>
  </si>
  <si>
    <t>(wet) Soil volume</t>
  </si>
  <si>
    <r>
      <t>F</t>
    </r>
    <r>
      <rPr>
        <vertAlign val="subscript"/>
        <sz val="10"/>
        <color theme="1"/>
        <rFont val="Verdana"/>
        <family val="2"/>
      </rPr>
      <t>soil,inj</t>
    </r>
  </si>
  <si>
    <r>
      <t>m</t>
    </r>
    <r>
      <rPr>
        <vertAlign val="superscript"/>
        <sz val="10"/>
        <rFont val="Verdana"/>
        <family val="2"/>
      </rPr>
      <t>3</t>
    </r>
  </si>
  <si>
    <t>Content of active substance in product</t>
  </si>
  <si>
    <r>
      <t>kg</t>
    </r>
    <r>
      <rPr>
        <sz val="10"/>
        <color theme="1"/>
        <rFont val="Verdana"/>
        <family val="2"/>
      </rPr>
      <t>.m</t>
    </r>
    <r>
      <rPr>
        <vertAlign val="superscript"/>
        <sz val="10"/>
        <color theme="1"/>
        <rFont val="Verdana"/>
        <family val="2"/>
      </rPr>
      <t>-3</t>
    </r>
  </si>
  <si>
    <t>Emission of substance during application</t>
  </si>
  <si>
    <r>
      <t>E</t>
    </r>
    <r>
      <rPr>
        <vertAlign val="subscript"/>
        <sz val="10"/>
        <color theme="1"/>
        <rFont val="Verdana"/>
        <family val="2"/>
      </rPr>
      <t>soil,inj</t>
    </r>
  </si>
  <si>
    <t xml:space="preserve">Concentration in local soil at the end of the day of application </t>
  </si>
  <si>
    <r>
      <t>Clocal</t>
    </r>
    <r>
      <rPr>
        <vertAlign val="subscript"/>
        <sz val="10"/>
        <color theme="1"/>
        <rFont val="Verdana"/>
        <family val="2"/>
      </rPr>
      <t>soil,inj</t>
    </r>
  </si>
  <si>
    <r>
      <t>1. In the "Input" table, insert the values for Q</t>
    </r>
    <r>
      <rPr>
        <vertAlign val="subscript"/>
        <sz val="10"/>
        <rFont val="Verdana"/>
        <family val="2"/>
      </rPr>
      <t>applic,product</t>
    </r>
    <r>
      <rPr>
        <sz val="10"/>
        <rFont val="Verdana"/>
        <family val="2"/>
      </rPr>
      <t>, f</t>
    </r>
    <r>
      <rPr>
        <vertAlign val="subscript"/>
        <sz val="10"/>
        <rFont val="Verdana"/>
        <family val="2"/>
      </rPr>
      <t>ai</t>
    </r>
    <r>
      <rPr>
        <sz val="10"/>
        <rFont val="Verdana"/>
        <family val="2"/>
      </rPr>
      <t xml:space="preserve"> and RHO</t>
    </r>
    <r>
      <rPr>
        <vertAlign val="subscript"/>
        <sz val="10"/>
        <rFont val="Verdana"/>
        <family val="2"/>
      </rPr>
      <t>product</t>
    </r>
    <r>
      <rPr>
        <sz val="10"/>
        <rFont val="Verdana"/>
        <family val="2"/>
      </rPr>
      <t>.</t>
    </r>
  </si>
  <si>
    <t>Treated wood area (below soil)</t>
  </si>
  <si>
    <r>
      <t>AREA</t>
    </r>
    <r>
      <rPr>
        <vertAlign val="subscript"/>
        <sz val="10"/>
        <color theme="1"/>
        <rFont val="Verdana"/>
        <family val="2"/>
      </rPr>
      <t>pole,below</t>
    </r>
  </si>
  <si>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 xml:space="preserve">pole,below </t>
    </r>
    <r>
      <rPr>
        <sz val="10"/>
        <color theme="1"/>
        <rFont val="Verdana"/>
        <family val="2"/>
      </rPr>
      <t>* Q</t>
    </r>
    <r>
      <rPr>
        <vertAlign val="superscript"/>
        <sz val="10"/>
        <color theme="1"/>
        <rFont val="Verdana"/>
        <family val="2"/>
      </rPr>
      <t>*</t>
    </r>
    <r>
      <rPr>
        <vertAlign val="subscript"/>
        <sz val="10"/>
        <color theme="1"/>
        <rFont val="Verdana"/>
        <family val="2"/>
      </rPr>
      <t>leach,TIME1</t>
    </r>
    <r>
      <rPr>
        <sz val="10"/>
        <color theme="1"/>
        <rFont val="Verdana"/>
        <family val="2"/>
      </rPr>
      <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</si>
  <si>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 xml:space="preserve">pole,below </t>
    </r>
    <r>
      <rPr>
        <sz val="10"/>
        <color theme="1"/>
        <rFont val="Verdana"/>
        <family val="2"/>
      </rPr>
      <t>* Q</t>
    </r>
    <r>
      <rPr>
        <vertAlign val="superscript"/>
        <sz val="10"/>
        <color theme="1"/>
        <rFont val="Verdana"/>
        <family val="2"/>
      </rPr>
      <t>*</t>
    </r>
    <r>
      <rPr>
        <vertAlign val="subscript"/>
        <sz val="10"/>
        <color theme="1"/>
        <rFont val="Verdana"/>
        <family val="2"/>
      </rPr>
      <t>leach,TIME2</t>
    </r>
    <r>
      <rPr>
        <sz val="10"/>
        <color theme="1"/>
        <rFont val="Verdana"/>
        <family val="2"/>
      </rPr>
      <t/>
    </r>
  </si>
  <si>
    <r>
      <rPr>
        <b/>
        <sz val="10"/>
        <color theme="1"/>
        <rFont val="Verdana"/>
        <family val="2"/>
      </rPr>
      <t>Clocal</t>
    </r>
    <r>
      <rPr>
        <b/>
        <vertAlign val="subscript"/>
        <sz val="10"/>
        <color theme="1"/>
        <rFont val="Verdana"/>
        <family val="2"/>
      </rPr>
      <t>soil,leach,TIME1</t>
    </r>
    <r>
      <rPr>
        <sz val="10"/>
        <color theme="1"/>
        <rFont val="Verdana"/>
        <family val="2"/>
      </rPr>
      <t xml:space="preserve"> = Q</t>
    </r>
    <r>
      <rPr>
        <vertAlign val="subscript"/>
        <sz val="10"/>
        <color theme="1"/>
        <rFont val="Verdana"/>
        <family val="2"/>
      </rPr>
      <t>leach,TIME1</t>
    </r>
    <r>
      <rPr>
        <sz val="10"/>
        <color theme="1"/>
        <rFont val="Verdana"/>
        <family val="2"/>
      </rPr>
      <t xml:space="preserve"> /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 xml:space="preserve">) </t>
    </r>
  </si>
  <si>
    <r>
      <rPr>
        <b/>
        <sz val="10"/>
        <color theme="1"/>
        <rFont val="Verdana"/>
        <family val="2"/>
      </rPr>
      <t>Clocal</t>
    </r>
    <r>
      <rPr>
        <b/>
        <vertAlign val="subscript"/>
        <sz val="10"/>
        <color theme="1"/>
        <rFont val="Verdana"/>
        <family val="2"/>
      </rPr>
      <t>soil,leach,TIME2</t>
    </r>
    <r>
      <rPr>
        <sz val="10"/>
        <color theme="1"/>
        <rFont val="Verdana"/>
        <family val="2"/>
      </rPr>
      <t xml:space="preserve"> = Q</t>
    </r>
    <r>
      <rPr>
        <vertAlign val="subscript"/>
        <sz val="10"/>
        <color theme="1"/>
        <rFont val="Verdana"/>
        <family val="2"/>
      </rPr>
      <t>leach,TIME2</t>
    </r>
    <r>
      <rPr>
        <sz val="10"/>
        <color theme="1"/>
        <rFont val="Verdana"/>
        <family val="2"/>
      </rPr>
      <t xml:space="preserve"> /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 xml:space="preserve">) </t>
    </r>
  </si>
  <si>
    <r>
      <rPr>
        <b/>
        <sz val="10"/>
        <rFont val="Verdana"/>
        <family val="2"/>
      </rPr>
      <t>Clocal</t>
    </r>
    <r>
      <rPr>
        <b/>
        <vertAlign val="subscript"/>
        <sz val="10"/>
        <rFont val="Verdana"/>
        <family val="2"/>
      </rPr>
      <t>soil,total,TIME1</t>
    </r>
    <r>
      <rPr>
        <sz val="10"/>
        <rFont val="Verdana"/>
        <family val="2"/>
      </rPr>
      <t xml:space="preserve"> = Clocal</t>
    </r>
    <r>
      <rPr>
        <vertAlign val="subscript"/>
        <sz val="10"/>
        <rFont val="Verdana"/>
        <family val="2"/>
      </rPr>
      <t>soil,inj</t>
    </r>
    <r>
      <rPr>
        <sz val="10"/>
        <rFont val="Verdana"/>
        <family val="2"/>
      </rPr>
      <t xml:space="preserve"> + Clocal</t>
    </r>
    <r>
      <rPr>
        <vertAlign val="subscript"/>
        <sz val="10"/>
        <rFont val="Verdana"/>
        <family val="2"/>
      </rPr>
      <t>soil,leach,TIME1</t>
    </r>
  </si>
  <si>
    <r>
      <rPr>
        <b/>
        <sz val="10"/>
        <rFont val="Verdana"/>
        <family val="2"/>
      </rPr>
      <t>Clocal</t>
    </r>
    <r>
      <rPr>
        <b/>
        <vertAlign val="subscript"/>
        <sz val="10"/>
        <rFont val="Verdana"/>
        <family val="2"/>
      </rPr>
      <t>soil,total,TIME2</t>
    </r>
    <r>
      <rPr>
        <sz val="10"/>
        <rFont val="Verdana"/>
        <family val="2"/>
      </rPr>
      <t xml:space="preserve"> = Clocal</t>
    </r>
    <r>
      <rPr>
        <vertAlign val="subscript"/>
        <sz val="10"/>
        <rFont val="Verdana"/>
        <family val="2"/>
      </rPr>
      <t>soil,inj</t>
    </r>
    <r>
      <rPr>
        <sz val="10"/>
        <rFont val="Verdana"/>
        <family val="2"/>
      </rPr>
      <t xml:space="preserve"> + Clocal</t>
    </r>
    <r>
      <rPr>
        <vertAlign val="subscript"/>
        <sz val="10"/>
        <rFont val="Verdana"/>
        <family val="2"/>
      </rPr>
      <t>soil,leach,TIME2</t>
    </r>
  </si>
  <si>
    <t>The default values can be overwritten. Once overwritten, in order to revert to the default values, these need to be manually introduced. Alternatively replace this worksheet by copying the one from the excel file in ECHA website.</t>
  </si>
  <si>
    <t>Spreadsheet "PT8 -indoor fumigation"</t>
  </si>
  <si>
    <t>A) Preventive pre-construction foundation treatment</t>
  </si>
  <si>
    <t>B) Post-construction trench treatment</t>
  </si>
  <si>
    <t>Treated soil areas phase 1 to 4</t>
  </si>
  <si>
    <r>
      <t>AREA</t>
    </r>
    <r>
      <rPr>
        <vertAlign val="subscript"/>
        <sz val="10"/>
        <color theme="1"/>
        <rFont val="Verdana"/>
        <family val="2"/>
      </rPr>
      <t>treated</t>
    </r>
  </si>
  <si>
    <t>Treated soil volume phase 2</t>
  </si>
  <si>
    <t>Treated soil total volume</t>
  </si>
  <si>
    <r>
      <t>VOLUME</t>
    </r>
    <r>
      <rPr>
        <vertAlign val="subscript"/>
        <sz val="10"/>
        <color theme="1"/>
        <rFont val="Verdana"/>
        <family val="2"/>
      </rPr>
      <t>treated,interiorsoil</t>
    </r>
  </si>
  <si>
    <t>Application rate of the diluted product to soil area</t>
  </si>
  <si>
    <r>
      <t>QA</t>
    </r>
    <r>
      <rPr>
        <vertAlign val="subscript"/>
        <sz val="10"/>
        <color theme="1"/>
        <rFont val="Verdana"/>
        <family val="2"/>
      </rPr>
      <t>applic,product</t>
    </r>
  </si>
  <si>
    <t>Application rate of the product to soil volume</t>
  </si>
  <si>
    <r>
      <t>QV</t>
    </r>
    <r>
      <rPr>
        <vertAlign val="subscript"/>
        <sz val="10"/>
        <color theme="1"/>
        <rFont val="Verdana"/>
        <family val="2"/>
      </rPr>
      <t>applic,product</t>
    </r>
  </si>
  <si>
    <r>
      <t>l.m</t>
    </r>
    <r>
      <rPr>
        <vertAlign val="superscript"/>
        <sz val="10"/>
        <color theme="1"/>
        <rFont val="Verdana"/>
        <family val="2"/>
      </rPr>
      <t>-3</t>
    </r>
  </si>
  <si>
    <t>Content of active substance in diluted product</t>
  </si>
  <si>
    <t>Density of diluted product</t>
  </si>
  <si>
    <t>Spreadsheet "PT8 -termite control"</t>
  </si>
  <si>
    <t>Table 4.34, p.99</t>
  </si>
  <si>
    <t>Fraction of product emitted to air during application</t>
  </si>
  <si>
    <r>
      <t>F</t>
    </r>
    <r>
      <rPr>
        <vertAlign val="subscript"/>
        <sz val="10"/>
        <color theme="1"/>
        <rFont val="Verdana"/>
        <family val="2"/>
      </rPr>
      <t>applic</t>
    </r>
  </si>
  <si>
    <t>ESD Table 4.34</t>
  </si>
  <si>
    <t>Duration of treatment</t>
  </si>
  <si>
    <t>TIME</t>
  </si>
  <si>
    <t>Total volume of product applied to soil</t>
  </si>
  <si>
    <r>
      <t>TOTAL</t>
    </r>
    <r>
      <rPr>
        <vertAlign val="subscript"/>
        <sz val="10"/>
        <color theme="1"/>
        <rFont val="Verdana"/>
        <family val="2"/>
      </rPr>
      <t>product,applic</t>
    </r>
  </si>
  <si>
    <t>l</t>
  </si>
  <si>
    <r>
      <t>E</t>
    </r>
    <r>
      <rPr>
        <vertAlign val="subscript"/>
        <sz val="10"/>
        <color theme="1"/>
        <rFont val="Verdana"/>
        <family val="2"/>
      </rPr>
      <t>atm,foundation</t>
    </r>
  </si>
  <si>
    <t>Quantity of a.i. applied directly to soil</t>
  </si>
  <si>
    <r>
      <t>Q</t>
    </r>
    <r>
      <rPr>
        <vertAlign val="subscript"/>
        <sz val="10"/>
        <color theme="1"/>
        <rFont val="Verdana"/>
        <family val="2"/>
      </rPr>
      <t>foundation,soil</t>
    </r>
  </si>
  <si>
    <t>Concentration of substance in foundation treated soil after treatment</t>
  </si>
  <si>
    <r>
      <t>C</t>
    </r>
    <r>
      <rPr>
        <vertAlign val="subscript"/>
        <sz val="10"/>
        <color theme="1"/>
        <rFont val="Verdana"/>
        <family val="2"/>
      </rPr>
      <t>foundation,soil</t>
    </r>
  </si>
  <si>
    <t>Service life (ESD Table 4.35, p.102)</t>
  </si>
  <si>
    <t>In-situ treatment (ESD Table 4.34, p.99)</t>
  </si>
  <si>
    <t>Treated soil area (perimeter of 1 meter around the house)</t>
  </si>
  <si>
    <r>
      <t>AREA</t>
    </r>
    <r>
      <rPr>
        <vertAlign val="subscript"/>
        <sz val="10"/>
        <color theme="1"/>
        <rFont val="Verdana"/>
        <family val="2"/>
      </rPr>
      <t>treated perimeter</t>
    </r>
  </si>
  <si>
    <r>
      <t>Cumulative quantity of a substance leached out of 1 m</t>
    </r>
    <r>
      <rPr>
        <vertAlign val="superscript"/>
        <sz val="10"/>
        <color theme="1"/>
        <rFont val="Verdana"/>
        <family val="2"/>
      </rPr>
      <t>2</t>
    </r>
    <r>
      <rPr>
        <sz val="10"/>
        <color theme="1"/>
        <rFont val="Verdana"/>
        <family val="2"/>
      </rPr>
      <t xml:space="preserve"> of treated soil over the initial assessment period = Application rate of the diluted product to soil area</t>
    </r>
  </si>
  <si>
    <r>
      <t>VOLUME</t>
    </r>
    <r>
      <rPr>
        <vertAlign val="subscript"/>
        <sz val="10"/>
        <color theme="1"/>
        <rFont val="Verdana"/>
        <family val="2"/>
      </rPr>
      <t>adj</t>
    </r>
    <r>
      <rPr>
        <sz val="10"/>
        <color theme="1"/>
        <rFont val="Verdana"/>
        <family val="2"/>
      </rPr>
      <t>house,soil</t>
    </r>
  </si>
  <si>
    <t>Distance from treated soil</t>
  </si>
  <si>
    <t>Select distance from treated soil</t>
  </si>
  <si>
    <t>10 cm</t>
  </si>
  <si>
    <t>20 cm</t>
  </si>
  <si>
    <t>30 cm</t>
  </si>
  <si>
    <t>40 cm</t>
  </si>
  <si>
    <t>50 cm</t>
  </si>
  <si>
    <t xml:space="preserve">Volume of untreated soil adjacent to the treated perimeter </t>
  </si>
  <si>
    <t>ESD Appendix 3</t>
  </si>
  <si>
    <t>Fraction of product lost to surface adjacent non treated soil by run-off from the upper layer of soil</t>
  </si>
  <si>
    <r>
      <t>F</t>
    </r>
    <r>
      <rPr>
        <vertAlign val="subscript"/>
        <sz val="10"/>
        <color theme="1"/>
        <rFont val="Verdana"/>
        <family val="2"/>
      </rPr>
      <t>run-off</t>
    </r>
  </si>
  <si>
    <t>Koc</t>
  </si>
  <si>
    <t>Fraction of product leaching to deeper soil layers</t>
  </si>
  <si>
    <t>Table 4.35, p.102</t>
  </si>
  <si>
    <t xml:space="preserve">Select substance Koc </t>
  </si>
  <si>
    <t>Fraction of product leaching to deeper soil layers, depending on the Koc</t>
  </si>
  <si>
    <r>
      <t>F</t>
    </r>
    <r>
      <rPr>
        <vertAlign val="subscript"/>
        <sz val="10"/>
        <color theme="1"/>
        <rFont val="Verdana"/>
        <family val="2"/>
      </rPr>
      <t>Koc</t>
    </r>
  </si>
  <si>
    <t>Total volume of product leaching out from the treated perimeter</t>
  </si>
  <si>
    <t>Cumulative quantity of a.i. leaching to the receiving soil adjacent and below the perimeter</t>
  </si>
  <si>
    <r>
      <t>TOTAL</t>
    </r>
    <r>
      <rPr>
        <vertAlign val="subscript"/>
        <sz val="10"/>
        <color theme="1"/>
        <rFont val="Verdana"/>
        <family val="2"/>
      </rPr>
      <t>product,leach</t>
    </r>
  </si>
  <si>
    <r>
      <t>Q</t>
    </r>
    <r>
      <rPr>
        <vertAlign val="subscript"/>
        <sz val="10"/>
        <color theme="1"/>
        <rFont val="Verdana"/>
        <family val="2"/>
      </rPr>
      <t>adj</t>
    </r>
    <r>
      <rPr>
        <sz val="10"/>
        <color theme="1"/>
        <rFont val="Verdana"/>
        <family val="2"/>
      </rPr>
      <t>house,soil</t>
    </r>
  </si>
  <si>
    <t>Concentration of a.i. in the receiving untreated soil adjacent to perimeter</t>
  </si>
  <si>
    <r>
      <t>C</t>
    </r>
    <r>
      <rPr>
        <vertAlign val="subscript"/>
        <sz val="10"/>
        <color theme="1"/>
        <rFont val="Verdana"/>
        <family val="2"/>
      </rPr>
      <t>adj</t>
    </r>
    <r>
      <rPr>
        <sz val="10"/>
        <color theme="1"/>
        <rFont val="Verdana"/>
        <family val="2"/>
      </rPr>
      <t>house,soil</t>
    </r>
  </si>
  <si>
    <t>2. Select the substance vapour pressure at 20 °C; the fraction of product emitted to air during application will be automatically filled in with the corresponding default value.</t>
  </si>
  <si>
    <t>ESD Table 4.35</t>
  </si>
  <si>
    <t>4. The "Output" table will be automatically filled in with the calculated values.</t>
  </si>
  <si>
    <t>In-situ treatment (ESD Table 4.36, p.105)</t>
  </si>
  <si>
    <t>Treated area of the trench</t>
  </si>
  <si>
    <r>
      <t>AREA</t>
    </r>
    <r>
      <rPr>
        <vertAlign val="subscript"/>
        <sz val="10"/>
        <color theme="1"/>
        <rFont val="Verdana"/>
        <family val="2"/>
      </rPr>
      <t>treated soil</t>
    </r>
  </si>
  <si>
    <t>Treated soil volume of the trench</t>
  </si>
  <si>
    <r>
      <t>E</t>
    </r>
    <r>
      <rPr>
        <vertAlign val="subscript"/>
        <sz val="10"/>
        <color theme="1"/>
        <rFont val="Verdana"/>
        <family val="2"/>
      </rPr>
      <t>atm,trench</t>
    </r>
  </si>
  <si>
    <t>Quantity of substance applied directly to soil</t>
  </si>
  <si>
    <r>
      <t>Q</t>
    </r>
    <r>
      <rPr>
        <vertAlign val="subscript"/>
        <sz val="10"/>
        <color theme="1"/>
        <rFont val="Verdana"/>
        <family val="2"/>
      </rPr>
      <t>trench,soil</t>
    </r>
  </si>
  <si>
    <r>
      <t>C</t>
    </r>
    <r>
      <rPr>
        <vertAlign val="subscript"/>
        <sz val="10"/>
        <color theme="1"/>
        <rFont val="Verdana"/>
        <family val="2"/>
      </rPr>
      <t>trench,soil</t>
    </r>
  </si>
  <si>
    <t>Treated soil area of trench</t>
  </si>
  <si>
    <r>
      <t>AREA</t>
    </r>
    <r>
      <rPr>
        <vertAlign val="subscript"/>
        <sz val="10"/>
        <color theme="1"/>
        <rFont val="Verdana"/>
        <family val="2"/>
      </rPr>
      <t>treated trench</t>
    </r>
  </si>
  <si>
    <t>Treated soil volume of trench</t>
  </si>
  <si>
    <r>
      <t>VOLUME</t>
    </r>
    <r>
      <rPr>
        <vertAlign val="subscript"/>
        <sz val="10"/>
        <color theme="1"/>
        <rFont val="Verdana"/>
        <family val="2"/>
      </rPr>
      <t>treated trench</t>
    </r>
  </si>
  <si>
    <t>Table p.169 (under point 550)</t>
  </si>
  <si>
    <t>Table p.167 (under point 547)</t>
  </si>
  <si>
    <t>Volume of adjacent untreated soil (m3) - around the treated perimeter</t>
  </si>
  <si>
    <t>Koc &lt; 500</t>
  </si>
  <si>
    <r>
      <t>VOLUME</t>
    </r>
    <r>
      <rPr>
        <vertAlign val="subscript"/>
        <sz val="10"/>
        <color theme="1"/>
        <rFont val="Verdana"/>
        <family val="2"/>
      </rPr>
      <t>adj</t>
    </r>
    <r>
      <rPr>
        <sz val="10"/>
        <color theme="1"/>
        <rFont val="Verdana"/>
        <family val="2"/>
      </rPr>
      <t>trench,soil</t>
    </r>
  </si>
  <si>
    <t>Total quantity of product leaching out from the treated trench</t>
  </si>
  <si>
    <t>Cumulative quantity of substance leaching to the receiving soil adjacent and below the trench</t>
  </si>
  <si>
    <r>
      <t>Q</t>
    </r>
    <r>
      <rPr>
        <vertAlign val="subscript"/>
        <sz val="10"/>
        <color theme="1"/>
        <rFont val="Verdana"/>
        <family val="2"/>
      </rPr>
      <t>adj</t>
    </r>
    <r>
      <rPr>
        <sz val="10"/>
        <color theme="1"/>
        <rFont val="Verdana"/>
        <family val="2"/>
      </rPr>
      <t>trench,soil</t>
    </r>
  </si>
  <si>
    <r>
      <t>C</t>
    </r>
    <r>
      <rPr>
        <vertAlign val="subscript"/>
        <sz val="10"/>
        <color theme="1"/>
        <rFont val="Verdana"/>
        <family val="2"/>
      </rPr>
      <t>adj</t>
    </r>
    <r>
      <rPr>
        <sz val="10"/>
        <color theme="1"/>
        <rFont val="Verdana"/>
        <family val="2"/>
      </rPr>
      <t>trench,soil</t>
    </r>
  </si>
  <si>
    <t>Concentration of substance in the receiving untreated soil adjacent to trench</t>
  </si>
  <si>
    <t>Fraction of product lost to soil during application by spray drift</t>
  </si>
  <si>
    <t>Fraction of product lost to soil during application by run-off</t>
  </si>
  <si>
    <r>
      <t>F</t>
    </r>
    <r>
      <rPr>
        <vertAlign val="subscript"/>
        <sz val="10"/>
        <color theme="1"/>
        <rFont val="Verdana"/>
        <family val="2"/>
      </rPr>
      <t>dep</t>
    </r>
  </si>
  <si>
    <t>Drift: volume to which deposition occurs in tier 2</t>
  </si>
  <si>
    <r>
      <t>V</t>
    </r>
    <r>
      <rPr>
        <vertAlign val="subscript"/>
        <sz val="10"/>
        <color theme="1"/>
        <rFont val="Verdana"/>
        <family val="2"/>
      </rPr>
      <t>soil,drift-tier2</t>
    </r>
  </si>
  <si>
    <t>Emission of substance to soil during the day of application by run-off</t>
  </si>
  <si>
    <t>Emission of substance to soil during the day of application by spray drift - tier 1</t>
  </si>
  <si>
    <t>Emission of substance to soil during the day of application by spray drift - tier 2</t>
  </si>
  <si>
    <t>Local concentration in soil (tier 1 and tier 2)</t>
  </si>
  <si>
    <t>Concentration in local soil at the end of the day of application due to run-off</t>
  </si>
  <si>
    <t>Concentration in local soil at the end of the day of application due to spray drift - tier 1</t>
  </si>
  <si>
    <t>Concentration in local soil at the end of the day of application due to spray drift - tier 2</t>
  </si>
  <si>
    <r>
      <t>E</t>
    </r>
    <r>
      <rPr>
        <vertAlign val="subscript"/>
        <sz val="10"/>
        <color theme="1"/>
        <rFont val="Verdana"/>
        <family val="2"/>
      </rPr>
      <t>soil,runoff</t>
    </r>
  </si>
  <si>
    <r>
      <t>E</t>
    </r>
    <r>
      <rPr>
        <vertAlign val="subscript"/>
        <sz val="10"/>
        <color theme="1"/>
        <rFont val="Verdana"/>
        <family val="2"/>
      </rPr>
      <t>soil,spray_drift,tier1</t>
    </r>
  </si>
  <si>
    <r>
      <t>E</t>
    </r>
    <r>
      <rPr>
        <vertAlign val="subscript"/>
        <sz val="10"/>
        <color theme="1"/>
        <rFont val="Verdana"/>
        <family val="2"/>
      </rPr>
      <t>soil,spray_drift,tier2</t>
    </r>
  </si>
  <si>
    <r>
      <t>Clocal</t>
    </r>
    <r>
      <rPr>
        <vertAlign val="subscript"/>
        <sz val="10"/>
        <color theme="1"/>
        <rFont val="Verdana"/>
        <family val="2"/>
      </rPr>
      <t>soil,runoff</t>
    </r>
  </si>
  <si>
    <r>
      <t>Clocal</t>
    </r>
    <r>
      <rPr>
        <vertAlign val="subscript"/>
        <sz val="10"/>
        <color theme="1"/>
        <rFont val="Verdana"/>
        <family val="2"/>
      </rPr>
      <t>soil,spray_drift,tier1</t>
    </r>
  </si>
  <si>
    <r>
      <t>Clocal</t>
    </r>
    <r>
      <rPr>
        <vertAlign val="subscript"/>
        <sz val="10"/>
        <color theme="1"/>
        <rFont val="Verdana"/>
        <family val="2"/>
      </rPr>
      <t>soil,spray_drift,tier2</t>
    </r>
  </si>
  <si>
    <t>Total concentration in local soil at the end of a longer assessment period: emission from application + leaching at the end of the longer assessment period</t>
  </si>
  <si>
    <r>
      <t>Clocal</t>
    </r>
    <r>
      <rPr>
        <vertAlign val="subscript"/>
        <sz val="10"/>
        <rFont val="Verdana"/>
        <family val="2"/>
      </rPr>
      <t>soil,total,TIME1_tier1</t>
    </r>
  </si>
  <si>
    <r>
      <rPr>
        <b/>
        <sz val="10"/>
        <rFont val="Verdana"/>
        <family val="2"/>
      </rPr>
      <t>Clocal</t>
    </r>
    <r>
      <rPr>
        <b/>
        <vertAlign val="subscript"/>
        <sz val="10"/>
        <rFont val="Verdana"/>
        <family val="2"/>
      </rPr>
      <t>soil,total,TIME1_tier1</t>
    </r>
    <r>
      <rPr>
        <sz val="10"/>
        <rFont val="Verdana"/>
        <family val="2"/>
      </rPr>
      <t xml:space="preserve"> = Clocal</t>
    </r>
    <r>
      <rPr>
        <vertAlign val="subscript"/>
        <sz val="10"/>
        <rFont val="Verdana"/>
        <family val="2"/>
      </rPr>
      <t>soil,tier1</t>
    </r>
    <r>
      <rPr>
        <sz val="10"/>
        <rFont val="Verdana"/>
        <family val="2"/>
      </rPr>
      <t xml:space="preserve"> + Clocal</t>
    </r>
    <r>
      <rPr>
        <vertAlign val="subscript"/>
        <sz val="10"/>
        <rFont val="Verdana"/>
        <family val="2"/>
      </rPr>
      <t>soil,leach,TIME1</t>
    </r>
  </si>
  <si>
    <t>Total concentration in local soil at the end of the initial assessment period: emission from application + leaching at the end of the initial assessment period - TIER 1</t>
  </si>
  <si>
    <t>Total concentration in local soil at the end of a longer assessment period: emission from application + leaching at the end of the longer assessment period - TIER 1</t>
  </si>
  <si>
    <r>
      <t>Clocal</t>
    </r>
    <r>
      <rPr>
        <vertAlign val="subscript"/>
        <sz val="10"/>
        <rFont val="Verdana"/>
        <family val="2"/>
      </rPr>
      <t>soil,total,TIME2_tier1</t>
    </r>
  </si>
  <si>
    <r>
      <rPr>
        <b/>
        <sz val="10"/>
        <rFont val="Verdana"/>
        <family val="2"/>
      </rPr>
      <t>Clocal</t>
    </r>
    <r>
      <rPr>
        <b/>
        <vertAlign val="subscript"/>
        <sz val="10"/>
        <rFont val="Verdana"/>
        <family val="2"/>
      </rPr>
      <t>soil,total,TIME2_tier1</t>
    </r>
    <r>
      <rPr>
        <sz val="10"/>
        <rFont val="Verdana"/>
        <family val="2"/>
      </rPr>
      <t xml:space="preserve"> = Clocal</t>
    </r>
    <r>
      <rPr>
        <vertAlign val="subscript"/>
        <sz val="10"/>
        <rFont val="Verdana"/>
        <family val="2"/>
      </rPr>
      <t>soil,tier1</t>
    </r>
    <r>
      <rPr>
        <sz val="10"/>
        <rFont val="Verdana"/>
        <family val="2"/>
      </rPr>
      <t xml:space="preserve"> + Clocal</t>
    </r>
    <r>
      <rPr>
        <vertAlign val="subscript"/>
        <sz val="10"/>
        <rFont val="Verdana"/>
        <family val="2"/>
      </rPr>
      <t>soil,leach,TIME2</t>
    </r>
  </si>
  <si>
    <t>Total concentration in local soil at the end of the day of application due to spray drift and run-off - tier 1</t>
  </si>
  <si>
    <t>Emission scenario for wrapping - service life (=Transmission pole scenario) (ESD § Table 4.32, p.95)</t>
  </si>
  <si>
    <t>Emission scenario for indoor (room and chamber) fumigation (ESD § Table 4.27, p.88)</t>
  </si>
  <si>
    <t>Emission scenario for treated railway sleepers in service (ESD Table 4.41, p.118)</t>
  </si>
  <si>
    <t>Leachable wood area of one railway sleeper (surface and sides)</t>
  </si>
  <si>
    <r>
      <t>AREA</t>
    </r>
    <r>
      <rPr>
        <vertAlign val="subscript"/>
        <sz val="10"/>
        <color theme="1"/>
        <rFont val="Verdana"/>
        <family val="2"/>
      </rPr>
      <t>sleepers</t>
    </r>
  </si>
  <si>
    <t>Number of sleepers in a rectangular field of 1 hectare</t>
  </si>
  <si>
    <r>
      <t>N</t>
    </r>
    <r>
      <rPr>
        <vertAlign val="subscript"/>
        <sz val="10"/>
        <color theme="1"/>
        <rFont val="Verdana"/>
        <family val="2"/>
      </rPr>
      <t>sleepers</t>
    </r>
  </si>
  <si>
    <r>
      <t>ha</t>
    </r>
    <r>
      <rPr>
        <vertAlign val="superscript"/>
        <sz val="10"/>
        <color theme="1"/>
        <rFont val="Verdana"/>
        <family val="2"/>
      </rPr>
      <t>-1</t>
    </r>
  </si>
  <si>
    <r>
      <t xml:space="preserve">Duration of a longer assessment period </t>
    </r>
    <r>
      <rPr>
        <vertAlign val="superscript"/>
        <sz val="10"/>
        <color theme="1"/>
        <rFont val="Verdana"/>
        <family val="2"/>
      </rPr>
      <t>2</t>
    </r>
  </si>
  <si>
    <t>2) Since railway sleepers are usually pressure treated, the default service life defined on EU level for pressure treated wood is provided as default for TIME2. However, railway sleepers treated with creosote based products have an average service life of 26 years (Kohler,2000). If such products are considered, the default value for TIME2 should be adapted accordingly to 9490 days.</t>
  </si>
  <si>
    <t>A) Emission scenario for treated docks in service (ESD Table 4.42, p.120)</t>
  </si>
  <si>
    <t>Spreadsheet "PT8 - dock and deck-fence"</t>
  </si>
  <si>
    <t>AREA/VOLUME</t>
  </si>
  <si>
    <t xml:space="preserve">Select area or volume </t>
  </si>
  <si>
    <t>AREA</t>
  </si>
  <si>
    <t>VOLUME</t>
  </si>
  <si>
    <t>treated wood area/volume</t>
  </si>
  <si>
    <t xml:space="preserve">Treated wood </t>
  </si>
  <si>
    <t>Pick list ESD Table 4.42</t>
  </si>
  <si>
    <t>Number of docks in one lake of 1 ha</t>
  </si>
  <si>
    <r>
      <t>N</t>
    </r>
    <r>
      <rPr>
        <vertAlign val="subscript"/>
        <sz val="10"/>
        <color theme="1"/>
        <rFont val="Verdana"/>
        <family val="2"/>
      </rPr>
      <t>dock</t>
    </r>
  </si>
  <si>
    <r>
      <t>Clocal</t>
    </r>
    <r>
      <rPr>
        <vertAlign val="subscript"/>
        <sz val="10"/>
        <color theme="1"/>
        <rFont val="Verdana"/>
        <family val="2"/>
      </rPr>
      <t>surfacewater,leach,TIME1</t>
    </r>
  </si>
  <si>
    <r>
      <t>Clocal</t>
    </r>
    <r>
      <rPr>
        <vertAlign val="subscript"/>
        <sz val="10"/>
        <color theme="1"/>
        <rFont val="Verdana"/>
        <family val="2"/>
      </rPr>
      <t>surfacewater,leach,TIME2</t>
    </r>
  </si>
  <si>
    <r>
      <t>AREA</t>
    </r>
    <r>
      <rPr>
        <vertAlign val="subscript"/>
        <sz val="10"/>
        <color theme="1"/>
        <rFont val="Verdana"/>
        <family val="2"/>
      </rPr>
      <t>deck/fence</t>
    </r>
  </si>
  <si>
    <t>Number of houses on ha</t>
  </si>
  <si>
    <r>
      <t>N</t>
    </r>
    <r>
      <rPr>
        <vertAlign val="subscript"/>
        <sz val="10"/>
        <color theme="1"/>
        <rFont val="Verdana"/>
        <family val="2"/>
      </rPr>
      <t>house</t>
    </r>
  </si>
  <si>
    <t>Cumulative quantity of substance leached over the initial assessment period</t>
  </si>
  <si>
    <t>Cumulative quantity of substance leached over a longer assessment period</t>
  </si>
  <si>
    <r>
      <t>Elocal</t>
    </r>
    <r>
      <rPr>
        <vertAlign val="subscript"/>
        <sz val="10"/>
        <color theme="1"/>
        <rFont val="Verdana"/>
        <family val="2"/>
      </rPr>
      <t>soil</t>
    </r>
  </si>
  <si>
    <r>
      <rPr>
        <b/>
        <sz val="10"/>
        <color theme="1"/>
        <rFont val="Verdana"/>
        <family val="2"/>
      </rPr>
      <t>Elocal</t>
    </r>
    <r>
      <rPr>
        <b/>
        <vertAlign val="subscript"/>
        <sz val="10"/>
        <color theme="1"/>
        <rFont val="Verdana"/>
        <family val="2"/>
      </rPr>
      <t>soil</t>
    </r>
    <r>
      <rPr>
        <b/>
        <sz val="10"/>
        <color theme="1"/>
        <rFont val="Verdana"/>
        <family val="2"/>
      </rPr>
      <t xml:space="preserve"> </t>
    </r>
    <r>
      <rPr>
        <sz val="10"/>
        <color theme="1"/>
        <rFont val="Verdana"/>
        <family val="2"/>
      </rPr>
      <t>= FLUX</t>
    </r>
    <r>
      <rPr>
        <vertAlign val="subscript"/>
        <sz val="10"/>
        <color theme="1"/>
        <rFont val="Verdana"/>
        <family val="2"/>
      </rPr>
      <t>storage</t>
    </r>
    <r>
      <rPr>
        <sz val="10"/>
        <color theme="1"/>
        <rFont val="Verdana"/>
        <family val="2"/>
      </rPr>
      <t xml:space="preserve"> * AREA</t>
    </r>
    <r>
      <rPr>
        <vertAlign val="subscript"/>
        <sz val="10"/>
        <color theme="1"/>
        <rFont val="Verdana"/>
        <family val="2"/>
      </rPr>
      <t>wood-expo</t>
    </r>
  </si>
  <si>
    <t>First order rate constant for removal from soil</t>
  </si>
  <si>
    <r>
      <t>d</t>
    </r>
    <r>
      <rPr>
        <vertAlign val="superscript"/>
        <sz val="10"/>
        <rFont val="Verdana"/>
        <family val="2"/>
      </rPr>
      <t>-1</t>
    </r>
  </si>
  <si>
    <t>Steady-state concentration in local soil</t>
  </si>
  <si>
    <r>
      <t>Clocal</t>
    </r>
    <r>
      <rPr>
        <vertAlign val="subscript"/>
        <sz val="10"/>
        <color theme="1"/>
        <rFont val="Verdana"/>
        <family val="2"/>
      </rPr>
      <t>soil,steady_state</t>
    </r>
  </si>
  <si>
    <t>Steady-state concentration in soil pore water</t>
  </si>
  <si>
    <r>
      <t>Clocal</t>
    </r>
    <r>
      <rPr>
        <vertAlign val="subscript"/>
        <sz val="10"/>
        <color theme="1"/>
        <rFont val="Verdana"/>
        <family val="2"/>
      </rPr>
      <t>pore,steady_state</t>
    </r>
  </si>
  <si>
    <t>Soil-water partitioning coefficient</t>
  </si>
  <si>
    <r>
      <t>K</t>
    </r>
    <r>
      <rPr>
        <vertAlign val="subscript"/>
        <sz val="10"/>
        <color theme="1"/>
        <rFont val="Verdana"/>
        <family val="2"/>
      </rPr>
      <t>soil-water</t>
    </r>
  </si>
  <si>
    <r>
      <t>m</t>
    </r>
    <r>
      <rPr>
        <vertAlign val="superscript"/>
        <sz val="10"/>
        <color theme="1"/>
        <rFont val="Verdana"/>
        <family val="2"/>
      </rPr>
      <t>3</t>
    </r>
    <r>
      <rPr>
        <sz val="10"/>
        <color theme="1"/>
        <rFont val="Verdana"/>
        <family val="2"/>
      </rPr>
      <t>.m</t>
    </r>
    <r>
      <rPr>
        <vertAlign val="superscript"/>
        <sz val="10"/>
        <color theme="1"/>
        <rFont val="Verdana"/>
        <family val="2"/>
      </rPr>
      <t>-3</t>
    </r>
  </si>
  <si>
    <r>
      <rPr>
        <b/>
        <sz val="10"/>
        <color theme="1"/>
        <rFont val="Verdana"/>
        <family val="2"/>
      </rPr>
      <t>Clocal</t>
    </r>
    <r>
      <rPr>
        <b/>
        <vertAlign val="subscript"/>
        <sz val="10"/>
        <color theme="1"/>
        <rFont val="Verdana"/>
        <family val="2"/>
      </rPr>
      <t>pore,ss</t>
    </r>
    <r>
      <rPr>
        <sz val="10"/>
        <color theme="1"/>
        <rFont val="Verdana"/>
        <family val="2"/>
      </rPr>
      <t xml:space="preserve"> = Clocal</t>
    </r>
    <r>
      <rPr>
        <vertAlign val="subscript"/>
        <sz val="10"/>
        <color theme="1"/>
        <rFont val="Verdana"/>
        <family val="2"/>
      </rPr>
      <t>soil,ss</t>
    </r>
    <r>
      <rPr>
        <sz val="10"/>
        <color theme="1"/>
        <rFont val="Verdana"/>
        <family val="2"/>
      </rPr>
      <t xml:space="preserve"> * RHO</t>
    </r>
    <r>
      <rPr>
        <vertAlign val="subscript"/>
        <sz val="10"/>
        <color theme="1"/>
        <rFont val="Verdana"/>
        <family val="2"/>
      </rPr>
      <t xml:space="preserve">soil </t>
    </r>
    <r>
      <rPr>
        <sz val="10"/>
        <color theme="1"/>
        <rFont val="Verdana"/>
        <family val="2"/>
      </rPr>
      <t>/ K</t>
    </r>
    <r>
      <rPr>
        <vertAlign val="subscript"/>
        <sz val="10"/>
        <color theme="1"/>
        <rFont val="Verdana"/>
        <family val="2"/>
      </rPr>
      <t>soil_water</t>
    </r>
  </si>
  <si>
    <r>
      <t>E</t>
    </r>
    <r>
      <rPr>
        <vertAlign val="subscript"/>
        <sz val="10"/>
        <color theme="1"/>
        <rFont val="Verdana"/>
        <family val="2"/>
      </rPr>
      <t>soil,leach,TIME1</t>
    </r>
  </si>
  <si>
    <r>
      <t>E</t>
    </r>
    <r>
      <rPr>
        <vertAlign val="subscript"/>
        <sz val="10"/>
        <color theme="1"/>
        <rFont val="Verdana"/>
        <family val="2"/>
      </rPr>
      <t>soil,leach,TIME2</t>
    </r>
  </si>
  <si>
    <r>
      <t>Clocal</t>
    </r>
    <r>
      <rPr>
        <vertAlign val="subscript"/>
        <sz val="10"/>
        <color theme="1"/>
        <rFont val="Verdana"/>
        <family val="2"/>
      </rPr>
      <t>soil,TIME1</t>
    </r>
  </si>
  <si>
    <r>
      <t>Clocal</t>
    </r>
    <r>
      <rPr>
        <vertAlign val="subscript"/>
        <sz val="10"/>
        <color theme="1"/>
        <rFont val="Verdana"/>
        <family val="2"/>
      </rPr>
      <t>soil,TIME2</t>
    </r>
  </si>
  <si>
    <r>
      <t>Clocal</t>
    </r>
    <r>
      <rPr>
        <vertAlign val="subscript"/>
        <sz val="10"/>
        <color theme="1"/>
        <rFont val="Verdana"/>
        <family val="2"/>
      </rPr>
      <t>pore,TIME1</t>
    </r>
  </si>
  <si>
    <r>
      <t>Clocal</t>
    </r>
    <r>
      <rPr>
        <vertAlign val="subscript"/>
        <sz val="10"/>
        <color theme="1"/>
        <rFont val="Verdana"/>
        <family val="2"/>
      </rPr>
      <t>pore,TIME2</t>
    </r>
  </si>
  <si>
    <r>
      <t>Quantity of a substance applied per m</t>
    </r>
    <r>
      <rPr>
        <vertAlign val="superscript"/>
        <sz val="10"/>
        <color theme="1"/>
        <rFont val="Verdana"/>
        <family val="2"/>
      </rPr>
      <t>2</t>
    </r>
    <r>
      <rPr>
        <sz val="10"/>
        <color theme="1"/>
        <rFont val="Verdana"/>
        <family val="2"/>
      </rPr>
      <t xml:space="preserve"> of wood </t>
    </r>
  </si>
  <si>
    <t xml:space="preserve">Value agreed at the WG IV 2015 (Tolyfluanid discussion). </t>
  </si>
  <si>
    <r>
      <t>m</t>
    </r>
    <r>
      <rPr>
        <vertAlign val="superscript"/>
        <sz val="10"/>
        <rFont val="Verdana"/>
        <family val="2"/>
      </rPr>
      <t>3</t>
    </r>
    <r>
      <rPr>
        <sz val="10"/>
        <rFont val="Verdana"/>
        <family val="2"/>
      </rPr>
      <t>.d</t>
    </r>
    <r>
      <rPr>
        <vertAlign val="superscript"/>
        <sz val="10"/>
        <rFont val="Verdana"/>
        <family val="2"/>
      </rPr>
      <t>-1</t>
    </r>
  </si>
  <si>
    <r>
      <t>This value corresponds to 0.3 m</t>
    </r>
    <r>
      <rPr>
        <vertAlign val="superscript"/>
        <sz val="10"/>
        <color theme="1"/>
        <rFont val="Verdana"/>
        <family val="2"/>
      </rPr>
      <t>3</t>
    </r>
    <r>
      <rPr>
        <sz val="10"/>
        <color theme="1"/>
        <rFont val="Verdana"/>
        <family val="2"/>
      </rPr>
      <t>.s</t>
    </r>
    <r>
      <rPr>
        <vertAlign val="superscript"/>
        <sz val="10"/>
        <color theme="1"/>
        <rFont val="Verdana"/>
        <family val="2"/>
      </rPr>
      <t>-1</t>
    </r>
    <r>
      <rPr>
        <sz val="10"/>
        <color theme="1"/>
        <rFont val="Verdana"/>
        <family val="2"/>
      </rPr>
      <t xml:space="preserve"> which is the default value for a small creek.</t>
    </r>
  </si>
  <si>
    <r>
      <rPr>
        <b/>
        <sz val="10"/>
        <color theme="1"/>
        <rFont val="Verdana"/>
        <family val="2"/>
      </rPr>
      <t>Clocal</t>
    </r>
    <r>
      <rPr>
        <b/>
        <vertAlign val="subscript"/>
        <sz val="10"/>
        <color theme="1"/>
        <rFont val="Verdana"/>
        <family val="2"/>
      </rPr>
      <t>surfacewater,TIME1</t>
    </r>
    <r>
      <rPr>
        <sz val="10"/>
        <color theme="1"/>
        <rFont val="Verdana"/>
        <family val="2"/>
      </rPr>
      <t xml:space="preserve"> = Elocal</t>
    </r>
    <r>
      <rPr>
        <vertAlign val="subscript"/>
        <sz val="10"/>
        <color theme="1"/>
        <rFont val="Verdana"/>
        <family val="2"/>
      </rPr>
      <t>surfacewater,TIME1</t>
    </r>
    <r>
      <rPr>
        <sz val="10"/>
        <color theme="1"/>
        <rFont val="Verdana"/>
        <family val="2"/>
      </rPr>
      <t xml:space="preserve"> * 1000 / FLOW</t>
    </r>
    <r>
      <rPr>
        <vertAlign val="subscript"/>
        <sz val="10"/>
        <color theme="1"/>
        <rFont val="Verdana"/>
        <family val="2"/>
      </rPr>
      <t>surfacewater</t>
    </r>
  </si>
  <si>
    <r>
      <rPr>
        <b/>
        <sz val="10"/>
        <color theme="1"/>
        <rFont val="Verdana"/>
        <family val="2"/>
      </rPr>
      <t>Clocal</t>
    </r>
    <r>
      <rPr>
        <b/>
        <vertAlign val="subscript"/>
        <sz val="10"/>
        <color theme="1"/>
        <rFont val="Verdana"/>
        <family val="2"/>
      </rPr>
      <t>surfacewater,TIME2</t>
    </r>
    <r>
      <rPr>
        <sz val="10"/>
        <color theme="1"/>
        <rFont val="Verdana"/>
        <family val="2"/>
      </rPr>
      <t xml:space="preserve"> = Elocal</t>
    </r>
    <r>
      <rPr>
        <vertAlign val="subscript"/>
        <sz val="10"/>
        <color theme="1"/>
        <rFont val="Verdana"/>
        <family val="2"/>
      </rPr>
      <t>surfacewater,TIME2</t>
    </r>
    <r>
      <rPr>
        <sz val="10"/>
        <color theme="1"/>
        <rFont val="Verdana"/>
        <family val="2"/>
      </rPr>
      <t xml:space="preserve"> * 1000 / FLOW</t>
    </r>
    <r>
      <rPr>
        <vertAlign val="subscript"/>
        <sz val="10"/>
        <color theme="1"/>
        <rFont val="Verdana"/>
        <family val="2"/>
      </rPr>
      <t>surfacewater</t>
    </r>
  </si>
  <si>
    <t>Spreadsheet "PT8 - treated wood in service"</t>
  </si>
  <si>
    <t>Application method/process</t>
  </si>
  <si>
    <t>Select application method/process</t>
  </si>
  <si>
    <t>Vacuum pressure treatment</t>
  </si>
  <si>
    <t>Double vacuum pressure treatment</t>
  </si>
  <si>
    <t>Automated spraying</t>
  </si>
  <si>
    <t>Default service life (days)</t>
  </si>
  <si>
    <t>Pick-list: ESD § 4.3.2 (default values for service life of treated wood depend on the application method/process)</t>
  </si>
  <si>
    <t>Spreadsheet "PT8 -injection"</t>
  </si>
  <si>
    <t>Select units</t>
  </si>
  <si>
    <t>Units</t>
  </si>
  <si>
    <t>Concentration of substance in trench treated soil after treatment</t>
  </si>
  <si>
    <r>
      <t>V</t>
    </r>
    <r>
      <rPr>
        <vertAlign val="subscript"/>
        <sz val="10"/>
        <color theme="1"/>
        <rFont val="Verdana"/>
        <family val="2"/>
      </rPr>
      <t xml:space="preserve">soil,runoff
</t>
    </r>
    <r>
      <rPr>
        <sz val="10"/>
        <color theme="1"/>
        <rFont val="Verdana"/>
        <family val="2"/>
      </rPr>
      <t>V</t>
    </r>
    <r>
      <rPr>
        <vertAlign val="subscript"/>
        <sz val="10"/>
        <color theme="1"/>
        <rFont val="Verdana"/>
        <family val="2"/>
      </rPr>
      <t>soil,drift-tier1</t>
    </r>
  </si>
  <si>
    <t>Run-off: soil volume adjacent to treated surface
Drift: volume to which deposition occurs in tier 1</t>
  </si>
  <si>
    <t>First order rate constant for removal from water</t>
  </si>
  <si>
    <t xml:space="preserve">Average daily emission due to leaching over the initial assessment period </t>
  </si>
  <si>
    <t xml:space="preserve">Average daily emission due to leaching over a longer duration </t>
  </si>
  <si>
    <r>
      <t>V</t>
    </r>
    <r>
      <rPr>
        <vertAlign val="subscript"/>
        <sz val="10"/>
        <color theme="1"/>
        <rFont val="Verdana"/>
        <family val="2"/>
      </rPr>
      <t>sed</t>
    </r>
  </si>
  <si>
    <r>
      <t>K</t>
    </r>
    <r>
      <rPr>
        <vertAlign val="subscript"/>
        <sz val="10"/>
        <color theme="1"/>
        <rFont val="Verdana"/>
        <family val="2"/>
      </rPr>
      <t>sed-water</t>
    </r>
  </si>
  <si>
    <r>
      <t>m</t>
    </r>
    <r>
      <rPr>
        <vertAlign val="superscript"/>
        <sz val="10"/>
        <rFont val="Verdana"/>
        <family val="2"/>
      </rPr>
      <t>3</t>
    </r>
    <r>
      <rPr>
        <sz val="10"/>
        <rFont val="Verdana"/>
        <family val="2"/>
      </rPr>
      <t>.m</t>
    </r>
    <r>
      <rPr>
        <vertAlign val="superscript"/>
        <sz val="10"/>
        <rFont val="Verdana"/>
        <family val="2"/>
      </rPr>
      <t>-3</t>
    </r>
  </si>
  <si>
    <t>Concentration of suspended matter in the surface water</t>
  </si>
  <si>
    <t>Solids-water partitioning coefficient for suspended matter</t>
  </si>
  <si>
    <r>
      <t>Kp</t>
    </r>
    <r>
      <rPr>
        <vertAlign val="subscript"/>
        <sz val="10"/>
        <color theme="1"/>
        <rFont val="Verdana"/>
        <family val="2"/>
      </rPr>
      <t>susp</t>
    </r>
  </si>
  <si>
    <r>
      <t>SUSP</t>
    </r>
    <r>
      <rPr>
        <vertAlign val="subscript"/>
        <sz val="10"/>
        <color theme="1"/>
        <rFont val="Verdana"/>
        <family val="2"/>
      </rPr>
      <t>water</t>
    </r>
  </si>
  <si>
    <t>Total sediment - water partitioning coefficient</t>
  </si>
  <si>
    <t>In-situ brushing (n.a. for noise barrier scenario)</t>
  </si>
  <si>
    <t>Spreadsheet "PT8 -pre treatm &amp; service"</t>
  </si>
  <si>
    <t xml:space="preserve">Average daily emission of substance due to leaching over the initial assessment period </t>
  </si>
  <si>
    <t xml:space="preserve">Average daily emission of substance due to leaching over a longer duration </t>
  </si>
  <si>
    <t>Note:</t>
  </si>
  <si>
    <t>Spreadsheet index (click on the title to be directed to the sub-section of the table)</t>
  </si>
  <si>
    <t>Emission estimation for industrial preventive processes - Automated spraying (ESD § 4.1.1, p.38)</t>
  </si>
  <si>
    <t>Emission estimation for industrial preventive processes - Dipping / immersion processes (ESD § 4.1.2, p.45)</t>
  </si>
  <si>
    <r>
      <rPr>
        <b/>
        <sz val="10"/>
        <rFont val="Verdana"/>
        <family val="2"/>
      </rPr>
      <t>E</t>
    </r>
    <r>
      <rPr>
        <b/>
        <vertAlign val="subscript"/>
        <sz val="10"/>
        <rFont val="Verdana"/>
        <family val="2"/>
      </rPr>
      <t>soil,leach,TIME1</t>
    </r>
    <r>
      <rPr>
        <sz val="10"/>
        <rFont val="Verdana"/>
        <family val="2"/>
      </rPr>
      <t xml:space="preserve"> = AREA</t>
    </r>
    <r>
      <rPr>
        <vertAlign val="subscript"/>
        <sz val="10"/>
        <rFont val="Verdana"/>
        <family val="2"/>
      </rPr>
      <t>house</t>
    </r>
    <r>
      <rPr>
        <sz val="10"/>
        <rFont val="Verdana"/>
        <family val="2"/>
      </rPr>
      <t xml:space="preserve"> *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</si>
  <si>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soil,leach,TIME2</t>
    </r>
    <r>
      <rPr>
        <sz val="10"/>
        <rFont val="Verdana"/>
        <family val="2"/>
      </rPr>
      <t xml:space="preserve"> = AREA</t>
    </r>
    <r>
      <rPr>
        <vertAlign val="subscript"/>
        <sz val="10"/>
        <rFont val="Verdana"/>
        <family val="2"/>
      </rPr>
      <t>house</t>
    </r>
    <r>
      <rPr>
        <sz val="10"/>
        <rFont val="Verdana"/>
        <family val="2"/>
      </rPr>
      <t xml:space="preserve"> * Q</t>
    </r>
    <r>
      <rPr>
        <vertAlign val="superscript"/>
        <sz val="10"/>
        <rFont val="Verdana"/>
        <family val="2"/>
      </rPr>
      <t>*</t>
    </r>
    <r>
      <rPr>
        <vertAlign val="subscript"/>
        <sz val="10"/>
        <rFont val="Verdana"/>
        <family val="2"/>
      </rPr>
      <t>leach,TIME2</t>
    </r>
    <r>
      <rPr>
        <sz val="10"/>
        <rFont val="Verdana"/>
        <family val="2"/>
      </rPr>
      <t xml:space="preserve"> / TIME2</t>
    </r>
  </si>
  <si>
    <t>Value set in table A above. Editable in table A only.</t>
  </si>
  <si>
    <r>
      <rPr>
        <b/>
        <sz val="10"/>
        <rFont val="Verdana"/>
        <family val="2"/>
      </rPr>
      <t>E</t>
    </r>
    <r>
      <rPr>
        <b/>
        <vertAlign val="subscript"/>
        <sz val="10"/>
        <rFont val="Verdana"/>
        <family val="2"/>
      </rPr>
      <t>soil,leach,TIME1</t>
    </r>
    <r>
      <rPr>
        <sz val="10"/>
        <rFont val="Verdana"/>
        <family val="2"/>
      </rPr>
      <t xml:space="preserve"> = AREA</t>
    </r>
    <r>
      <rPr>
        <vertAlign val="subscript"/>
        <sz val="10"/>
        <rFont val="Verdana"/>
        <family val="2"/>
      </rPr>
      <t>noise-barrier</t>
    </r>
    <r>
      <rPr>
        <sz val="10"/>
        <rFont val="Verdana"/>
        <family val="2"/>
      </rPr>
      <t xml:space="preserve"> * F</t>
    </r>
    <r>
      <rPr>
        <vertAlign val="subscript"/>
        <sz val="10"/>
        <rFont val="Verdana"/>
        <family val="2"/>
      </rPr>
      <t>soil</t>
    </r>
    <r>
      <rPr>
        <sz val="10"/>
        <rFont val="Verdana"/>
        <family val="2"/>
      </rPr>
      <t xml:space="preserve"> *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</si>
  <si>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soil,leach,TIME2</t>
    </r>
    <r>
      <rPr>
        <sz val="10"/>
        <rFont val="Verdana"/>
        <family val="2"/>
      </rPr>
      <t xml:space="preserve"> = AREA</t>
    </r>
    <r>
      <rPr>
        <vertAlign val="subscript"/>
        <sz val="10"/>
        <rFont val="Verdana"/>
        <family val="2"/>
      </rPr>
      <t>noise-barrier</t>
    </r>
    <r>
      <rPr>
        <sz val="10"/>
        <rFont val="Verdana"/>
        <family val="2"/>
      </rPr>
      <t xml:space="preserve"> * F</t>
    </r>
    <r>
      <rPr>
        <vertAlign val="subscript"/>
        <sz val="10"/>
        <rFont val="Verdana"/>
        <family val="2"/>
      </rPr>
      <t>soil</t>
    </r>
    <r>
      <rPr>
        <sz val="10"/>
        <rFont val="Verdana"/>
        <family val="2"/>
      </rPr>
      <t xml:space="preserve"> * Q</t>
    </r>
    <r>
      <rPr>
        <vertAlign val="superscript"/>
        <sz val="10"/>
        <rFont val="Verdana"/>
        <family val="2"/>
      </rPr>
      <t>*</t>
    </r>
    <r>
      <rPr>
        <vertAlign val="subscript"/>
        <sz val="10"/>
        <rFont val="Verdana"/>
        <family val="2"/>
      </rPr>
      <t>leach,TIME2</t>
    </r>
    <r>
      <rPr>
        <sz val="10"/>
        <rFont val="Verdana"/>
        <family val="2"/>
      </rPr>
      <t xml:space="preserve"> / TIME2</t>
    </r>
  </si>
  <si>
    <r>
      <t>E</t>
    </r>
    <r>
      <rPr>
        <vertAlign val="subscript"/>
        <sz val="10"/>
        <rFont val="Verdana"/>
        <family val="2"/>
      </rPr>
      <t>water,leach,TIME1</t>
    </r>
  </si>
  <si>
    <r>
      <t>E</t>
    </r>
    <r>
      <rPr>
        <vertAlign val="subscript"/>
        <sz val="10"/>
        <rFont val="Verdana"/>
        <family val="2"/>
      </rPr>
      <t>water,leach,TIME2</t>
    </r>
  </si>
  <si>
    <r>
      <t>Clocal</t>
    </r>
    <r>
      <rPr>
        <vertAlign val="subscript"/>
        <sz val="10"/>
        <rFont val="Verdana"/>
        <family val="2"/>
      </rPr>
      <t>water,TIME1</t>
    </r>
  </si>
  <si>
    <r>
      <t>Clocal</t>
    </r>
    <r>
      <rPr>
        <vertAlign val="subscript"/>
        <sz val="10"/>
        <rFont val="Verdana"/>
        <family val="2"/>
      </rPr>
      <t>water,TIME2</t>
    </r>
  </si>
  <si>
    <r>
      <rPr>
        <b/>
        <sz val="10"/>
        <rFont val="Verdana"/>
        <family val="2"/>
      </rPr>
      <t>E</t>
    </r>
    <r>
      <rPr>
        <b/>
        <vertAlign val="subscript"/>
        <sz val="10"/>
        <rFont val="Verdana"/>
        <family val="2"/>
      </rPr>
      <t>water,leach,TIME1</t>
    </r>
    <r>
      <rPr>
        <sz val="10"/>
        <rFont val="Verdana"/>
        <family val="2"/>
      </rPr>
      <t xml:space="preserve"> = AREA</t>
    </r>
    <r>
      <rPr>
        <vertAlign val="subscript"/>
        <sz val="10"/>
        <rFont val="Verdana"/>
        <family val="2"/>
      </rPr>
      <t>bridge</t>
    </r>
    <r>
      <rPr>
        <sz val="10"/>
        <rFont val="Verdana"/>
        <family val="2"/>
      </rPr>
      <t xml:space="preserve"> *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</si>
  <si>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water,leach,TIME2</t>
    </r>
    <r>
      <rPr>
        <sz val="10"/>
        <rFont val="Verdana"/>
        <family val="2"/>
      </rPr>
      <t xml:space="preserve"> = AREA</t>
    </r>
    <r>
      <rPr>
        <vertAlign val="subscript"/>
        <sz val="10"/>
        <rFont val="Verdana"/>
        <family val="2"/>
      </rPr>
      <t>bridge</t>
    </r>
    <r>
      <rPr>
        <sz val="10"/>
        <rFont val="Verdana"/>
        <family val="2"/>
      </rPr>
      <t xml:space="preserve"> * Q</t>
    </r>
    <r>
      <rPr>
        <vertAlign val="superscript"/>
        <sz val="10"/>
        <rFont val="Verdana"/>
        <family val="2"/>
      </rPr>
      <t>*</t>
    </r>
    <r>
      <rPr>
        <vertAlign val="subscript"/>
        <sz val="10"/>
        <rFont val="Verdana"/>
        <family val="2"/>
      </rPr>
      <t>leach,TIME2</t>
    </r>
    <r>
      <rPr>
        <sz val="10"/>
        <rFont val="Verdana"/>
        <family val="2"/>
      </rPr>
      <t xml:space="preserve"> / TIME2</t>
    </r>
  </si>
  <si>
    <r>
      <rPr>
        <b/>
        <sz val="10"/>
        <rFont val="Verdana"/>
        <family val="2"/>
      </rPr>
      <t>E</t>
    </r>
    <r>
      <rPr>
        <b/>
        <vertAlign val="subscript"/>
        <sz val="10"/>
        <rFont val="Verdana"/>
        <family val="2"/>
      </rPr>
      <t>water,leach,TIME1</t>
    </r>
    <r>
      <rPr>
        <sz val="10"/>
        <rFont val="Verdana"/>
        <family val="2"/>
      </rPr>
      <t xml:space="preserve"> = (AREA</t>
    </r>
    <r>
      <rPr>
        <vertAlign val="subscript"/>
        <sz val="10"/>
        <rFont val="Verdana"/>
        <family val="2"/>
      </rPr>
      <t xml:space="preserve">planks </t>
    </r>
    <r>
      <rPr>
        <sz val="10"/>
        <rFont val="Verdana"/>
        <family val="2"/>
      </rPr>
      <t>+ AREA</t>
    </r>
    <r>
      <rPr>
        <vertAlign val="subscript"/>
        <sz val="10"/>
        <rFont val="Verdana"/>
        <family val="2"/>
      </rPr>
      <t>poles</t>
    </r>
    <r>
      <rPr>
        <sz val="10"/>
        <rFont val="Verdana"/>
        <family val="2"/>
      </rPr>
      <t>) *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</si>
  <si>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water,leach,TIME2</t>
    </r>
    <r>
      <rPr>
        <sz val="10"/>
        <rFont val="Verdana"/>
        <family val="2"/>
      </rPr>
      <t xml:space="preserve"> = (AREA</t>
    </r>
    <r>
      <rPr>
        <vertAlign val="subscript"/>
        <sz val="10"/>
        <rFont val="Verdana"/>
        <family val="2"/>
      </rPr>
      <t>planks</t>
    </r>
    <r>
      <rPr>
        <sz val="10"/>
        <rFont val="Verdana"/>
        <family val="2"/>
      </rPr>
      <t xml:space="preserve"> + AREA</t>
    </r>
    <r>
      <rPr>
        <vertAlign val="subscript"/>
        <sz val="10"/>
        <rFont val="Verdana"/>
        <family val="2"/>
      </rPr>
      <t>poles</t>
    </r>
    <r>
      <rPr>
        <sz val="10"/>
        <rFont val="Verdana"/>
        <family val="2"/>
      </rPr>
      <t>) * Q</t>
    </r>
    <r>
      <rPr>
        <vertAlign val="superscript"/>
        <sz val="10"/>
        <rFont val="Verdana"/>
        <family val="2"/>
      </rPr>
      <t>*</t>
    </r>
    <r>
      <rPr>
        <vertAlign val="subscript"/>
        <sz val="10"/>
        <rFont val="Verdana"/>
        <family val="2"/>
      </rPr>
      <t>leach,TIME2</t>
    </r>
    <r>
      <rPr>
        <sz val="10"/>
        <rFont val="Verdana"/>
        <family val="2"/>
      </rPr>
      <t xml:space="preserve"> / TIME2</t>
    </r>
  </si>
  <si>
    <t xml:space="preserve">Emission estimation for additional (niche) scenarios - Indoor fumigation (ESD § 4.4.1, p.87) </t>
  </si>
  <si>
    <t xml:space="preserve">Emission estimation for additional (niche) scenarios - Injection (ESD § 4.4.2, p.89) </t>
  </si>
  <si>
    <t xml:space="preserve">Emission estimation for additional (niche) scenarios - Wrapping (ESD § 4.4.3, p.93) </t>
  </si>
  <si>
    <t xml:space="preserve">Emission estimation for additional (niche) scenarios - Termite control (ESD § 4.4.4, p.95) </t>
  </si>
  <si>
    <t xml:space="preserve">Emission estimation for additional (niche) scenarios - In-situ spraying (outdoors) (ESD § 4.4.5, p.109) </t>
  </si>
  <si>
    <t xml:space="preserve">Emission estimation for additional (niche) scenarios - Railway sleepers (ESD § 4.4.6, p.115) </t>
  </si>
  <si>
    <t xml:space="preserve">Emission estimation for additional (niche) scenarios - Dock and deck/fence scenario (ESD § 4.4.7, p.118) </t>
  </si>
  <si>
    <t>B) Emission scenario for treated decks/fences in service (ESD Table 4.43, p.121)</t>
  </si>
  <si>
    <r>
      <rPr>
        <b/>
        <sz val="10"/>
        <color theme="1"/>
        <rFont val="Verdana"/>
        <family val="2"/>
      </rPr>
      <t>Clocal</t>
    </r>
    <r>
      <rPr>
        <b/>
        <vertAlign val="subscript"/>
        <sz val="10"/>
        <color theme="1"/>
        <rFont val="Verdana"/>
        <family val="2"/>
      </rPr>
      <t>soil,ss</t>
    </r>
    <r>
      <rPr>
        <sz val="10"/>
        <color theme="1"/>
        <rFont val="Verdana"/>
        <family val="2"/>
      </rPr>
      <t xml:space="preserve"> = Elocal</t>
    </r>
    <r>
      <rPr>
        <vertAlign val="subscript"/>
        <sz val="10"/>
        <color theme="1"/>
        <rFont val="Verdana"/>
        <family val="2"/>
      </rPr>
      <t>soil</t>
    </r>
    <r>
      <rPr>
        <sz val="10"/>
        <color theme="1"/>
        <rFont val="Verdana"/>
        <family val="2"/>
      </rPr>
      <t xml:space="preserve"> * (1 - F</t>
    </r>
    <r>
      <rPr>
        <vertAlign val="subscript"/>
        <sz val="10"/>
        <color theme="1"/>
        <rFont val="Verdana"/>
        <family val="2"/>
      </rPr>
      <t>runoff</t>
    </r>
    <r>
      <rPr>
        <sz val="10"/>
        <color theme="1"/>
        <rFont val="Verdana"/>
        <family val="2"/>
      </rPr>
      <t>)/(DEPTH</t>
    </r>
    <r>
      <rPr>
        <vertAlign val="subscript"/>
        <sz val="10"/>
        <color theme="1"/>
        <rFont val="Verdana"/>
        <family val="2"/>
      </rPr>
      <t>soil</t>
    </r>
    <r>
      <rPr>
        <sz val="10"/>
        <color theme="1"/>
        <rFont val="Verdana"/>
        <family val="2"/>
      </rPr>
      <t xml:space="preserve"> * RHO</t>
    </r>
    <r>
      <rPr>
        <vertAlign val="subscript"/>
        <sz val="10"/>
        <color theme="1"/>
        <rFont val="Verdana"/>
        <family val="2"/>
      </rPr>
      <t xml:space="preserve">soil </t>
    </r>
    <r>
      <rPr>
        <sz val="10"/>
        <color theme="1"/>
        <rFont val="Verdana"/>
        <family val="2"/>
      </rPr>
      <t>* k</t>
    </r>
    <r>
      <rPr>
        <vertAlign val="subscript"/>
        <sz val="10"/>
        <color theme="1"/>
        <rFont val="Verdana"/>
        <family val="2"/>
      </rPr>
      <t>soil</t>
    </r>
    <r>
      <rPr>
        <sz val="10"/>
        <color theme="1"/>
        <rFont val="Verdana"/>
        <family val="2"/>
      </rPr>
      <t>)</t>
    </r>
  </si>
  <si>
    <t xml:space="preserve">Product </t>
  </si>
  <si>
    <t xml:space="preserve">Fluid </t>
  </si>
  <si>
    <t>Solid</t>
  </si>
  <si>
    <t>Select fluid or solid product</t>
  </si>
  <si>
    <t>l/m2</t>
  </si>
  <si>
    <t>kg/m2</t>
  </si>
  <si>
    <t>Qproduct-solid</t>
  </si>
  <si>
    <t>Qproduct-fluid</t>
  </si>
  <si>
    <r>
      <t>C</t>
    </r>
    <r>
      <rPr>
        <vertAlign val="subscript"/>
        <sz val="10"/>
        <color theme="1"/>
        <rFont val="Verdana"/>
        <family val="2"/>
      </rPr>
      <t>ai</t>
    </r>
  </si>
  <si>
    <t xml:space="preserve">Density of liquid product </t>
  </si>
  <si>
    <r>
      <t>Calculation of quantity of a substance applied per m</t>
    </r>
    <r>
      <rPr>
        <b/>
        <vertAlign val="superscript"/>
        <sz val="10"/>
        <color theme="1"/>
        <rFont val="Verdana"/>
        <family val="2"/>
      </rPr>
      <t>2</t>
    </r>
    <r>
      <rPr>
        <b/>
        <sz val="10"/>
        <color theme="1"/>
        <rFont val="Verdana"/>
        <family val="2"/>
      </rPr>
      <t xml:space="preserve"> of wood</t>
    </r>
  </si>
  <si>
    <r>
      <t>2. Insert the value for quantity of the substance applied per m</t>
    </r>
    <r>
      <rPr>
        <vertAlign val="superscript"/>
        <sz val="10"/>
        <rFont val="Verdana"/>
        <family val="2"/>
      </rPr>
      <t>2</t>
    </r>
    <r>
      <rPr>
        <sz val="10"/>
        <rFont val="Verdana"/>
        <family val="2"/>
      </rPr>
      <t xml:space="preserve"> of wood, in kg.m</t>
    </r>
    <r>
      <rPr>
        <vertAlign val="superscript"/>
        <sz val="10"/>
        <rFont val="Verdana"/>
        <family val="2"/>
      </rPr>
      <t>-2</t>
    </r>
    <r>
      <rPr>
        <sz val="10"/>
        <rFont val="Verdana"/>
        <family val="2"/>
      </rPr>
      <t>; if only the application rate of the product is known, calculate separately Q</t>
    </r>
    <r>
      <rPr>
        <vertAlign val="subscript"/>
        <sz val="10"/>
        <rFont val="Verdana"/>
        <family val="2"/>
      </rPr>
      <t>ai</t>
    </r>
    <r>
      <rPr>
        <sz val="10"/>
        <rFont val="Verdana"/>
        <family val="2"/>
      </rPr>
      <t xml:space="preserve"> and insert the value in the "Input" table.</t>
    </r>
  </si>
  <si>
    <t>2. Insert average daily flux.</t>
  </si>
  <si>
    <t>Without considering removal processes in the receiving environmental compartments</t>
  </si>
  <si>
    <t>1. In the "Input" table, insert the average daily flux.</t>
  </si>
  <si>
    <t>Emission estimation for treated wood in service (ESD § 4.3, p.65) - Emission scenario for UC 4a - Wood in contact with the ground (ESD § 4.3.4, p.76)</t>
  </si>
  <si>
    <t>Leachable wood area above soil</t>
  </si>
  <si>
    <r>
      <t>AREA</t>
    </r>
    <r>
      <rPr>
        <vertAlign val="subscript"/>
        <sz val="10"/>
        <color theme="1"/>
        <rFont val="Verdana"/>
        <family val="2"/>
      </rPr>
      <t>pole,above</t>
    </r>
  </si>
  <si>
    <t>Leachable wood area below soil</t>
  </si>
  <si>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pole,above</t>
    </r>
    <r>
      <rPr>
        <sz val="10"/>
        <color theme="1"/>
        <rFont val="Verdana"/>
        <family val="2"/>
      </rPr>
      <t xml:space="preserve"> + AREA</t>
    </r>
    <r>
      <rPr>
        <vertAlign val="subscript"/>
        <sz val="10"/>
        <color theme="1"/>
        <rFont val="Verdana"/>
        <family val="2"/>
      </rPr>
      <t>pole,below</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leach,TIME1</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</si>
  <si>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pole,above</t>
    </r>
    <r>
      <rPr>
        <sz val="10"/>
        <color theme="1"/>
        <rFont val="Verdana"/>
        <family val="2"/>
      </rPr>
      <t xml:space="preserve"> + AREA</t>
    </r>
    <r>
      <rPr>
        <vertAlign val="subscript"/>
        <sz val="10"/>
        <color theme="1"/>
        <rFont val="Verdana"/>
        <family val="2"/>
      </rPr>
      <t>pole,below</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leach,TIME2</t>
    </r>
  </si>
  <si>
    <r>
      <t>E</t>
    </r>
    <r>
      <rPr>
        <vertAlign val="subscript"/>
        <sz val="10"/>
        <rFont val="Verdana"/>
        <family val="2"/>
      </rPr>
      <t>soil,leach,TIME1</t>
    </r>
  </si>
  <si>
    <r>
      <t>E</t>
    </r>
    <r>
      <rPr>
        <vertAlign val="subscript"/>
        <sz val="10"/>
        <rFont val="Verdana"/>
        <family val="2"/>
      </rPr>
      <t>soil,leach,TIME2</t>
    </r>
  </si>
  <si>
    <r>
      <rPr>
        <b/>
        <sz val="10"/>
        <rFont val="Verdana"/>
        <family val="2"/>
      </rPr>
      <t>E</t>
    </r>
    <r>
      <rPr>
        <b/>
        <vertAlign val="subscript"/>
        <sz val="10"/>
        <rFont val="Verdana"/>
        <family val="2"/>
      </rPr>
      <t>soil,leach,TIME1</t>
    </r>
    <r>
      <rPr>
        <sz val="10"/>
        <rFont val="Verdana"/>
        <family val="2"/>
      </rPr>
      <t xml:space="preserve"> = (AREA</t>
    </r>
    <r>
      <rPr>
        <vertAlign val="subscript"/>
        <sz val="10"/>
        <rFont val="Verdana"/>
        <family val="2"/>
      </rPr>
      <t xml:space="preserve">pole,above </t>
    </r>
    <r>
      <rPr>
        <sz val="10"/>
        <rFont val="Verdana"/>
        <family val="2"/>
      </rPr>
      <t>+ AREA</t>
    </r>
    <r>
      <rPr>
        <vertAlign val="subscript"/>
        <sz val="10"/>
        <rFont val="Verdana"/>
        <family val="2"/>
      </rPr>
      <t>pole,below</t>
    </r>
    <r>
      <rPr>
        <sz val="10"/>
        <rFont val="Verdana"/>
        <family val="2"/>
      </rPr>
      <t>) *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</si>
  <si>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soil,leach,TIME2</t>
    </r>
    <r>
      <rPr>
        <sz val="10"/>
        <rFont val="Verdana"/>
        <family val="2"/>
      </rPr>
      <t xml:space="preserve"> = (AREA</t>
    </r>
    <r>
      <rPr>
        <vertAlign val="subscript"/>
        <sz val="10"/>
        <rFont val="Verdana"/>
        <family val="2"/>
      </rPr>
      <t xml:space="preserve">pole,above </t>
    </r>
    <r>
      <rPr>
        <sz val="10"/>
        <rFont val="Verdana"/>
        <family val="2"/>
      </rPr>
      <t>+ AREA</t>
    </r>
    <r>
      <rPr>
        <vertAlign val="subscript"/>
        <sz val="10"/>
        <rFont val="Verdana"/>
        <family val="2"/>
      </rPr>
      <t>pole,below</t>
    </r>
    <r>
      <rPr>
        <sz val="10"/>
        <rFont val="Verdana"/>
        <family val="2"/>
      </rPr>
      <t>) * Q</t>
    </r>
    <r>
      <rPr>
        <vertAlign val="superscript"/>
        <sz val="10"/>
        <rFont val="Verdana"/>
        <family val="2"/>
      </rPr>
      <t>*</t>
    </r>
    <r>
      <rPr>
        <vertAlign val="subscript"/>
        <sz val="10"/>
        <rFont val="Verdana"/>
        <family val="2"/>
      </rPr>
      <t>leach,TIME2</t>
    </r>
    <r>
      <rPr>
        <sz val="10"/>
        <rFont val="Verdana"/>
        <family val="2"/>
      </rPr>
      <t xml:space="preserve"> / TIME2</t>
    </r>
  </si>
  <si>
    <r>
      <t>AREA</t>
    </r>
    <r>
      <rPr>
        <vertAlign val="subscript"/>
        <sz val="10"/>
        <color theme="1"/>
        <rFont val="Verdana"/>
        <family val="2"/>
      </rPr>
      <t>post,above</t>
    </r>
  </si>
  <si>
    <r>
      <t>AREA</t>
    </r>
    <r>
      <rPr>
        <vertAlign val="subscript"/>
        <sz val="10"/>
        <color theme="1"/>
        <rFont val="Verdana"/>
        <family val="2"/>
      </rPr>
      <t>post,below</t>
    </r>
  </si>
  <si>
    <t>If needed calculate Qai below and insert the value here</t>
  </si>
  <si>
    <t>B) Emission scenario for automated spraying - storage of treated wood prior to shipping (including removal processes in the receiving environmental compartment - soil)  (ESD Table 4.3, p.44, Table 3.4, p.27)</t>
  </si>
  <si>
    <t>Additional information needed to estimate emissions taking into account removal processes in the soil (Table 3.4, p.27)</t>
  </si>
  <si>
    <t>Without considering removal processes in the soil</t>
  </si>
  <si>
    <t>Considering removal processes in the soil (ESD Table 3.4, p.27)</t>
  </si>
  <si>
    <t>B) Emission scenario for automated spraying - storage of treated wood prior to shipping (including removal processes in the receiving environmental compartment - soil) (ESD Table 4.3, p.44, Table 3.4, p.27)</t>
  </si>
  <si>
    <t>B) Emission scenario for dipping / immersion - storage of treated wood prior to shipping (including removal processes in the receiving environmental compartment - soil) (ESD Table 4.6, p.50, Table 3.4, p.27)</t>
  </si>
  <si>
    <t>Emission estimation for industrial preventive processes - Vacuum pressure and double vacuum (ESD § 4.1.3, p.51)</t>
  </si>
  <si>
    <t>A) Emission scenario for vacuum pressure and double vacuum - product application (ESD Table 4.8, p.57)</t>
  </si>
  <si>
    <t>B) Emission scenario for vacuum pressure and double vacuum - storage of treated wood prior to shipping (including removal processes in the receiving environmental compartment - soil) (ESD Table 4.9, p.58, Table 3.4, p.27)</t>
  </si>
  <si>
    <t>Emission scenario for in situ treatment - house scenario (ESD Table 4.11, p.63), fence scenario (ESD Table 4.12, p.64) and bridge over pond scenario (ESD Table 4.13, p.65)</t>
  </si>
  <si>
    <r>
      <t>1. In the "Input" table insert the value of application rate of the product (Q</t>
    </r>
    <r>
      <rPr>
        <vertAlign val="subscript"/>
        <sz val="10"/>
        <rFont val="Verdana"/>
        <family val="2"/>
      </rPr>
      <t>applic,product</t>
    </r>
    <r>
      <rPr>
        <sz val="10"/>
        <rFont val="Verdana"/>
        <family val="2"/>
      </rPr>
      <t>), content of a substance in product (f</t>
    </r>
    <r>
      <rPr>
        <vertAlign val="subscript"/>
        <sz val="10"/>
        <rFont val="Verdana"/>
        <family val="2"/>
      </rPr>
      <t>ai</t>
    </r>
    <r>
      <rPr>
        <sz val="10"/>
        <rFont val="Verdana"/>
        <family val="2"/>
      </rPr>
      <t>) and density of product (RHO</t>
    </r>
    <r>
      <rPr>
        <vertAlign val="subscript"/>
        <sz val="10"/>
        <rFont val="Verdana"/>
        <family val="2"/>
      </rPr>
      <t>product</t>
    </r>
    <r>
      <rPr>
        <sz val="10"/>
        <rFont val="Verdana"/>
        <family val="2"/>
      </rPr>
      <t>).</t>
    </r>
  </si>
  <si>
    <t>Additional information needed to estimate emissions taking into account removal processes in the soil (Table 3.5, p.28 and Table 3.6, p.29)</t>
  </si>
  <si>
    <t>Considering removal processes in the soil (Table 3.5, p.28 and Table 3.6, p.29)</t>
  </si>
  <si>
    <t>Concentration in soil pore water after the initial assessment period</t>
  </si>
  <si>
    <t>Concentration in soil pore water over a longer duration</t>
  </si>
  <si>
    <r>
      <rPr>
        <b/>
        <sz val="10"/>
        <color theme="1"/>
        <rFont val="Verdana"/>
        <family val="2"/>
      </rPr>
      <t>ESD Eq. 3.11</t>
    </r>
    <r>
      <rPr>
        <sz val="10"/>
        <color theme="1"/>
        <rFont val="Verdana"/>
        <family val="2"/>
      </rPr>
      <t>) Concentration in local soil after the initial assessment period</t>
    </r>
  </si>
  <si>
    <r>
      <rPr>
        <b/>
        <sz val="10"/>
        <color theme="1"/>
        <rFont val="Verdana"/>
        <family val="2"/>
      </rPr>
      <t>ESD Eq. 3.12</t>
    </r>
    <r>
      <rPr>
        <sz val="10"/>
        <color theme="1"/>
        <rFont val="Verdana"/>
        <family val="2"/>
      </rPr>
      <t>) Concentration in local soil over a longer duration</t>
    </r>
  </si>
  <si>
    <t>TOTAL concentration in local soil at the end of the initial assessment period</t>
  </si>
  <si>
    <t>TOTAL concentration in local soil at the end of a longer assessment period</t>
  </si>
  <si>
    <r>
      <t>Clocal</t>
    </r>
    <r>
      <rPr>
        <vertAlign val="subscript"/>
        <sz val="10"/>
        <color theme="1"/>
        <rFont val="Verdana"/>
        <family val="2"/>
      </rPr>
      <t>soil,total,TIME1</t>
    </r>
  </si>
  <si>
    <r>
      <t>Clocal</t>
    </r>
    <r>
      <rPr>
        <vertAlign val="subscript"/>
        <sz val="10"/>
        <color theme="1"/>
        <rFont val="Verdana"/>
        <family val="2"/>
      </rPr>
      <t>soil,total,TIME2</t>
    </r>
  </si>
  <si>
    <t>Spreadsheet "PT8 -vacuum_double vacuum proc"</t>
  </si>
  <si>
    <t>Is in situ treatment covered?</t>
  </si>
  <si>
    <t>Yes</t>
  </si>
  <si>
    <t>No</t>
  </si>
  <si>
    <r>
      <t>For wood which is treated</t>
    </r>
    <r>
      <rPr>
        <b/>
        <i/>
        <sz val="10"/>
        <color rgb="FF002060"/>
        <rFont val="Verdana"/>
        <family val="2"/>
      </rPr>
      <t xml:space="preserve"> in situ</t>
    </r>
    <r>
      <rPr>
        <b/>
        <sz val="10"/>
        <color rgb="FF002060"/>
        <rFont val="Verdana"/>
        <family val="2"/>
      </rPr>
      <t xml:space="preserve"> emissions to soil can occur during the application itself and from leaching from the treated wood in service. Select below whether the scenario should cover </t>
    </r>
    <r>
      <rPr>
        <b/>
        <i/>
        <sz val="10"/>
        <color rgb="FF002060"/>
        <rFont val="Verdana"/>
        <family val="2"/>
      </rPr>
      <t>in situ</t>
    </r>
    <r>
      <rPr>
        <b/>
        <sz val="10"/>
        <color rgb="FF002060"/>
        <rFont val="Verdana"/>
        <family val="2"/>
      </rPr>
      <t xml:space="preserve"> treatment or only leaching from wood in service. If </t>
    </r>
    <r>
      <rPr>
        <b/>
        <i/>
        <sz val="10"/>
        <color rgb="FF002060"/>
        <rFont val="Verdana"/>
        <family val="2"/>
      </rPr>
      <t>in situ</t>
    </r>
    <r>
      <rPr>
        <b/>
        <sz val="10"/>
        <color rgb="FF002060"/>
        <rFont val="Verdana"/>
        <family val="2"/>
      </rPr>
      <t xml:space="preserve"> treatment is to be covered the emissions from application need to be calculated in advance (spreadsheet "PT8-prof&amp;amateur in situ treatm"). Please note that</t>
    </r>
    <r>
      <rPr>
        <b/>
        <i/>
        <sz val="10"/>
        <color rgb="FF002060"/>
        <rFont val="Verdana"/>
        <family val="2"/>
      </rPr>
      <t xml:space="preserve"> in situ </t>
    </r>
    <r>
      <rPr>
        <b/>
        <sz val="10"/>
        <color rgb="FF002060"/>
        <rFont val="Verdana"/>
        <family val="2"/>
      </rPr>
      <t>brushing is not possible for the noise barrier scenario.</t>
    </r>
  </si>
  <si>
    <r>
      <t xml:space="preserve">If </t>
    </r>
    <r>
      <rPr>
        <i/>
        <sz val="10"/>
        <color theme="1"/>
        <rFont val="Verdana"/>
        <family val="2"/>
      </rPr>
      <t>in situ</t>
    </r>
    <r>
      <rPr>
        <sz val="10"/>
        <color theme="1"/>
        <rFont val="Verdana"/>
        <family val="2"/>
      </rPr>
      <t xml:space="preserve"> treatment is covered, this value has to be calculated in advance in the spreadsheet "PT8-prof&amp;amateur in situ treatm"; once calculated, the value is automatically copied here.</t>
    </r>
  </si>
  <si>
    <r>
      <t xml:space="preserve">Cover </t>
    </r>
    <r>
      <rPr>
        <i/>
        <sz val="10"/>
        <color theme="1"/>
        <rFont val="Verdana"/>
        <family val="2"/>
      </rPr>
      <t>in situ</t>
    </r>
    <r>
      <rPr>
        <sz val="10"/>
        <color theme="1"/>
        <rFont val="Verdana"/>
        <family val="2"/>
      </rPr>
      <t xml:space="preserve"> treatment ?</t>
    </r>
  </si>
  <si>
    <r>
      <t xml:space="preserve">For wood which was treated </t>
    </r>
    <r>
      <rPr>
        <b/>
        <i/>
        <sz val="10"/>
        <color rgb="FF002060"/>
        <rFont val="Verdana"/>
        <family val="2"/>
      </rPr>
      <t>in situ</t>
    </r>
    <r>
      <rPr>
        <b/>
        <sz val="10"/>
        <color rgb="FF002060"/>
        <rFont val="Verdana"/>
        <family val="2"/>
      </rPr>
      <t xml:space="preserve"> emissions to soil can occur during the application itself and from leaching from treated wood in service. The total local concentration in soil is calculated below.</t>
    </r>
  </si>
  <si>
    <r>
      <rPr>
        <b/>
        <sz val="10"/>
        <color theme="1"/>
        <rFont val="Verdana"/>
        <family val="2"/>
      </rPr>
      <t>Clocal</t>
    </r>
    <r>
      <rPr>
        <b/>
        <vertAlign val="subscript"/>
        <sz val="10"/>
        <color theme="1"/>
        <rFont val="Verdana"/>
        <family val="2"/>
      </rPr>
      <t>soil,total,TIME1</t>
    </r>
    <r>
      <rPr>
        <b/>
        <sz val="10"/>
        <color theme="1"/>
        <rFont val="Verdana"/>
        <family val="2"/>
      </rPr>
      <t xml:space="preserve"> </t>
    </r>
    <r>
      <rPr>
        <sz val="10"/>
        <color theme="1"/>
        <rFont val="Verdana"/>
        <family val="2"/>
      </rPr>
      <t>= Clocal</t>
    </r>
    <r>
      <rPr>
        <vertAlign val="subscript"/>
        <sz val="10"/>
        <color theme="1"/>
        <rFont val="Verdana"/>
        <family val="2"/>
      </rPr>
      <t>soil,brush</t>
    </r>
    <r>
      <rPr>
        <sz val="10"/>
        <color theme="1"/>
        <rFont val="Verdana"/>
        <family val="2"/>
      </rPr>
      <t xml:space="preserve"> + Clocal</t>
    </r>
    <r>
      <rPr>
        <vertAlign val="subscript"/>
        <sz val="10"/>
        <color theme="1"/>
        <rFont val="Verdana"/>
        <family val="2"/>
      </rPr>
      <t>soil,leach,TIME1</t>
    </r>
  </si>
  <si>
    <r>
      <rPr>
        <b/>
        <sz val="10"/>
        <color theme="1"/>
        <rFont val="Verdana"/>
        <family val="2"/>
      </rPr>
      <t>Clocal</t>
    </r>
    <r>
      <rPr>
        <b/>
        <vertAlign val="subscript"/>
        <sz val="10"/>
        <color theme="1"/>
        <rFont val="Verdana"/>
        <family val="2"/>
      </rPr>
      <t>soil,total,TIME2</t>
    </r>
    <r>
      <rPr>
        <b/>
        <sz val="10"/>
        <color theme="1"/>
        <rFont val="Verdana"/>
        <family val="2"/>
      </rPr>
      <t xml:space="preserve"> </t>
    </r>
    <r>
      <rPr>
        <sz val="10"/>
        <color theme="1"/>
        <rFont val="Verdana"/>
        <family val="2"/>
      </rPr>
      <t>= Clocal</t>
    </r>
    <r>
      <rPr>
        <vertAlign val="subscript"/>
        <sz val="10"/>
        <color theme="1"/>
        <rFont val="Verdana"/>
        <family val="2"/>
      </rPr>
      <t>soil,brush</t>
    </r>
    <r>
      <rPr>
        <sz val="10"/>
        <color theme="1"/>
        <rFont val="Verdana"/>
        <family val="2"/>
      </rPr>
      <t xml:space="preserve"> + Clocal</t>
    </r>
    <r>
      <rPr>
        <vertAlign val="subscript"/>
        <sz val="10"/>
        <color theme="1"/>
        <rFont val="Verdana"/>
        <family val="2"/>
      </rPr>
      <t>soil,leach,TIME2</t>
    </r>
  </si>
  <si>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soil,brush_house</t>
    </r>
    <r>
      <rPr>
        <sz val="10"/>
        <rFont val="Verdana"/>
        <family val="2"/>
      </rPr>
      <t>] * e</t>
    </r>
    <r>
      <rPr>
        <vertAlign val="superscript"/>
        <sz val="10"/>
        <rFont val="Verdana"/>
        <family val="2"/>
      </rPr>
      <t>-TIME1*k</t>
    </r>
  </si>
  <si>
    <r>
      <rPr>
        <b/>
        <sz val="10"/>
        <rFont val="Verdana"/>
        <family val="2"/>
      </rPr>
      <t>Clocal</t>
    </r>
    <r>
      <rPr>
        <b/>
        <vertAlign val="subscript"/>
        <sz val="10"/>
        <rFont val="Verdana"/>
        <family val="2"/>
      </rPr>
      <t>soil,TIME2</t>
    </r>
    <r>
      <rPr>
        <sz val="10"/>
        <rFont val="Verdana"/>
        <family val="2"/>
      </rPr>
      <t xml:space="preserve">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soil,brush_house</t>
    </r>
    <r>
      <rPr>
        <sz val="10"/>
        <rFont val="Verdana"/>
        <family val="2"/>
      </rPr>
      <t>] * e</t>
    </r>
    <r>
      <rPr>
        <vertAlign val="superscript"/>
        <sz val="10"/>
        <rFont val="Verdana"/>
        <family val="2"/>
      </rPr>
      <t>-TIME2*k</t>
    </r>
  </si>
  <si>
    <r>
      <t>1. In the "Input" table indicate whether the estimations should cover application (in situ treatment) (select "Yes" or "No" from the drop-down list). Clocal</t>
    </r>
    <r>
      <rPr>
        <vertAlign val="subscript"/>
        <sz val="10"/>
        <rFont val="Verdana"/>
        <family val="2"/>
      </rPr>
      <t>soil</t>
    </r>
    <r>
      <rPr>
        <sz val="10"/>
        <rFont val="Verdana"/>
        <family val="2"/>
      </rPr>
      <t xml:space="preserve"> will be automatically filled in: with "0", if the choice was "No" or with the value calculated in the spreadsheet "PT8-prof&amp;amateur in situ treatm", if "Yes" was chosen.</t>
    </r>
  </si>
  <si>
    <t>2. Select the application method/process; TIME2 will be automatically filled in.</t>
  </si>
  <si>
    <r>
      <t>3. Insert Q*</t>
    </r>
    <r>
      <rPr>
        <vertAlign val="subscript"/>
        <sz val="10"/>
        <rFont val="Verdana"/>
        <family val="2"/>
      </rPr>
      <t>leach,TIME1</t>
    </r>
    <r>
      <rPr>
        <sz val="10"/>
        <rFont val="Verdana"/>
        <family val="2"/>
      </rPr>
      <t xml:space="preserve"> and Q*</t>
    </r>
    <r>
      <rPr>
        <vertAlign val="subscript"/>
        <sz val="10"/>
        <rFont val="Verdana"/>
        <family val="2"/>
      </rPr>
      <t>leach,TIME2</t>
    </r>
    <r>
      <rPr>
        <sz val="10"/>
        <rFont val="Verdana"/>
        <family val="2"/>
      </rPr>
      <t xml:space="preserve"> values.</t>
    </r>
  </si>
  <si>
    <t>5. The "Output" table will be automatically filled in with the calculated values.</t>
  </si>
  <si>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soil,brush_fence</t>
    </r>
    <r>
      <rPr>
        <sz val="10"/>
        <rFont val="Verdana"/>
        <family val="2"/>
      </rPr>
      <t>] * e</t>
    </r>
    <r>
      <rPr>
        <vertAlign val="superscript"/>
        <sz val="10"/>
        <rFont val="Verdana"/>
        <family val="2"/>
      </rPr>
      <t>-TIME1*k</t>
    </r>
  </si>
  <si>
    <r>
      <rPr>
        <b/>
        <sz val="10"/>
        <rFont val="Verdana"/>
        <family val="2"/>
      </rPr>
      <t>Clocal</t>
    </r>
    <r>
      <rPr>
        <b/>
        <vertAlign val="subscript"/>
        <sz val="10"/>
        <rFont val="Verdana"/>
        <family val="2"/>
      </rPr>
      <t>soil,TIME2</t>
    </r>
    <r>
      <rPr>
        <sz val="10"/>
        <rFont val="Verdana"/>
        <family val="2"/>
      </rPr>
      <t xml:space="preserve">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soil,brush_fence</t>
    </r>
    <r>
      <rPr>
        <sz val="10"/>
        <rFont val="Verdana"/>
        <family val="2"/>
      </rPr>
      <t>] * e</t>
    </r>
    <r>
      <rPr>
        <vertAlign val="superscript"/>
        <sz val="10"/>
        <rFont val="Verdana"/>
        <family val="2"/>
      </rPr>
      <t>-TIME2*k</t>
    </r>
  </si>
  <si>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t>
    </r>
    <r>
      <rPr>
        <sz val="10"/>
        <rFont val="Verdana"/>
        <family val="2"/>
      </rPr>
      <t>] * e</t>
    </r>
    <r>
      <rPr>
        <vertAlign val="superscript"/>
        <sz val="10"/>
        <rFont val="Verdana"/>
        <family val="2"/>
      </rPr>
      <t>-TIME1*k</t>
    </r>
  </si>
  <si>
    <r>
      <rPr>
        <b/>
        <sz val="10"/>
        <rFont val="Verdana"/>
        <family val="2"/>
      </rPr>
      <t>Clocal</t>
    </r>
    <r>
      <rPr>
        <b/>
        <vertAlign val="subscript"/>
        <sz val="10"/>
        <rFont val="Verdana"/>
        <family val="2"/>
      </rPr>
      <t>soil,TIME2</t>
    </r>
    <r>
      <rPr>
        <sz val="10"/>
        <rFont val="Verdana"/>
        <family val="2"/>
      </rPr>
      <t xml:space="preserve">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t>
    </r>
    <r>
      <rPr>
        <sz val="10"/>
        <rFont val="Verdana"/>
        <family val="2"/>
      </rPr>
      <t>] * e</t>
    </r>
    <r>
      <rPr>
        <vertAlign val="superscript"/>
        <sz val="10"/>
        <rFont val="Verdana"/>
        <family val="2"/>
      </rPr>
      <t>-TIME2*k</t>
    </r>
  </si>
  <si>
    <t>Calculation of solids-water partitioning coefficient for suspended matter</t>
  </si>
  <si>
    <t>Partition coefficient organic carbon-water</t>
  </si>
  <si>
    <t>Weight fraction of organic carbon in the suspended solids</t>
  </si>
  <si>
    <t>Guidance on the Biocidal Products Regulation, Vol IV Environment - Part B (v 1.0 April 2015) - Table 5, p.49</t>
  </si>
  <si>
    <r>
      <t>kg</t>
    </r>
    <r>
      <rPr>
        <vertAlign val="subscript"/>
        <sz val="10"/>
        <rFont val="Verdana"/>
        <family val="2"/>
      </rPr>
      <t>oc</t>
    </r>
    <r>
      <rPr>
        <sz val="10"/>
        <rFont val="Verdana"/>
        <family val="2"/>
      </rPr>
      <t>.kg</t>
    </r>
    <r>
      <rPr>
        <vertAlign val="subscript"/>
        <sz val="10"/>
        <rFont val="Verdana"/>
        <family val="2"/>
      </rPr>
      <t>solid</t>
    </r>
    <r>
      <rPr>
        <vertAlign val="superscript"/>
        <sz val="10"/>
        <rFont val="Verdana"/>
        <family val="2"/>
      </rPr>
      <t>-1</t>
    </r>
  </si>
  <si>
    <r>
      <t>F</t>
    </r>
    <r>
      <rPr>
        <vertAlign val="subscript"/>
        <sz val="10"/>
        <color theme="1"/>
        <rFont val="Verdana"/>
        <family val="2"/>
      </rPr>
      <t>oc,susp</t>
    </r>
  </si>
  <si>
    <r>
      <t>K</t>
    </r>
    <r>
      <rPr>
        <vertAlign val="subscript"/>
        <sz val="10"/>
        <color theme="1"/>
        <rFont val="Verdana"/>
        <family val="2"/>
      </rPr>
      <t>oc</t>
    </r>
  </si>
  <si>
    <r>
      <t>If needed calculate Kp</t>
    </r>
    <r>
      <rPr>
        <vertAlign val="subscript"/>
        <sz val="10"/>
        <color theme="1"/>
        <rFont val="Verdana"/>
        <family val="2"/>
      </rPr>
      <t>susp</t>
    </r>
    <r>
      <rPr>
        <sz val="10"/>
        <color theme="1"/>
        <rFont val="Verdana"/>
        <family val="2"/>
      </rPr>
      <t xml:space="preserve"> below and insert the value here</t>
    </r>
  </si>
  <si>
    <t xml:space="preserve">Without considering removal processes </t>
  </si>
  <si>
    <t>Without considering removal processes</t>
  </si>
  <si>
    <t>TOTAL concentration in local water at the end of the initial assessment period</t>
  </si>
  <si>
    <t>TOTAL concentration in local water at the end of a longer assessment period</t>
  </si>
  <si>
    <r>
      <t>Clocal</t>
    </r>
    <r>
      <rPr>
        <vertAlign val="subscript"/>
        <sz val="10"/>
        <color theme="1"/>
        <rFont val="Verdana"/>
        <family val="2"/>
      </rPr>
      <t>water,total,TIME1</t>
    </r>
  </si>
  <si>
    <r>
      <t>Clocal</t>
    </r>
    <r>
      <rPr>
        <vertAlign val="subscript"/>
        <sz val="10"/>
        <color theme="1"/>
        <rFont val="Verdana"/>
        <family val="2"/>
      </rPr>
      <t>water,total,TIME2</t>
    </r>
  </si>
  <si>
    <r>
      <t xml:space="preserve">For wood which was treated </t>
    </r>
    <r>
      <rPr>
        <b/>
        <i/>
        <sz val="10"/>
        <color rgb="FF002060"/>
        <rFont val="Verdana"/>
        <family val="2"/>
      </rPr>
      <t>in situ</t>
    </r>
    <r>
      <rPr>
        <b/>
        <sz val="10"/>
        <color rgb="FF002060"/>
        <rFont val="Verdana"/>
        <family val="2"/>
      </rPr>
      <t xml:space="preserve"> emissions to water can occur during the application itself and from leaching from treated wood in service. The total local concentration in water is calculated below.</t>
    </r>
  </si>
  <si>
    <r>
      <rPr>
        <b/>
        <sz val="10"/>
        <color theme="1"/>
        <rFont val="Verdana"/>
        <family val="2"/>
      </rPr>
      <t>Clocal</t>
    </r>
    <r>
      <rPr>
        <b/>
        <vertAlign val="subscript"/>
        <sz val="10"/>
        <color theme="1"/>
        <rFont val="Verdana"/>
        <family val="2"/>
      </rPr>
      <t>water,total,TIME1</t>
    </r>
    <r>
      <rPr>
        <b/>
        <sz val="10"/>
        <color theme="1"/>
        <rFont val="Verdana"/>
        <family val="2"/>
      </rPr>
      <t xml:space="preserve"> </t>
    </r>
    <r>
      <rPr>
        <sz val="10"/>
        <color theme="1"/>
        <rFont val="Verdana"/>
        <family val="2"/>
      </rPr>
      <t>= Clocal</t>
    </r>
    <r>
      <rPr>
        <vertAlign val="subscript"/>
        <sz val="10"/>
        <color theme="1"/>
        <rFont val="Verdana"/>
        <family val="2"/>
      </rPr>
      <t>water,brush</t>
    </r>
    <r>
      <rPr>
        <sz val="10"/>
        <color theme="1"/>
        <rFont val="Verdana"/>
        <family val="2"/>
      </rPr>
      <t>+Clocal</t>
    </r>
    <r>
      <rPr>
        <vertAlign val="subscript"/>
        <sz val="10"/>
        <color theme="1"/>
        <rFont val="Verdana"/>
        <family val="2"/>
      </rPr>
      <t>water,leach,TIME1</t>
    </r>
  </si>
  <si>
    <r>
      <rPr>
        <b/>
        <sz val="10"/>
        <color theme="1"/>
        <rFont val="Verdana"/>
        <family val="2"/>
      </rPr>
      <t>Clocal</t>
    </r>
    <r>
      <rPr>
        <b/>
        <vertAlign val="subscript"/>
        <sz val="10"/>
        <color theme="1"/>
        <rFont val="Verdana"/>
        <family val="2"/>
      </rPr>
      <t>water,total,TIME2</t>
    </r>
    <r>
      <rPr>
        <b/>
        <sz val="10"/>
        <color theme="1"/>
        <rFont val="Verdana"/>
        <family val="2"/>
      </rPr>
      <t xml:space="preserve"> </t>
    </r>
    <r>
      <rPr>
        <sz val="10"/>
        <color theme="1"/>
        <rFont val="Verdana"/>
        <family val="2"/>
      </rPr>
      <t>= Clocal</t>
    </r>
    <r>
      <rPr>
        <vertAlign val="subscript"/>
        <sz val="10"/>
        <color theme="1"/>
        <rFont val="Verdana"/>
        <family val="2"/>
      </rPr>
      <t>water,brush</t>
    </r>
    <r>
      <rPr>
        <sz val="10"/>
        <color theme="1"/>
        <rFont val="Verdana"/>
        <family val="2"/>
      </rPr>
      <t>+Clocal</t>
    </r>
    <r>
      <rPr>
        <vertAlign val="subscript"/>
        <sz val="10"/>
        <color theme="1"/>
        <rFont val="Verdana"/>
        <family val="2"/>
      </rPr>
      <t>water,leach,TIME2</t>
    </r>
  </si>
  <si>
    <t>Considering removal processes in the water body (Table 3.8, p.31/32)</t>
  </si>
  <si>
    <t>Additional information needed to estimate emissions taking into account removal processes in the water body (Table 3.8, p.31/32)</t>
  </si>
  <si>
    <r>
      <t>1. In the "Input" table indicate whether the estimations should cover application (</t>
    </r>
    <r>
      <rPr>
        <i/>
        <sz val="10"/>
        <rFont val="Verdana"/>
        <family val="2"/>
      </rPr>
      <t>in situ</t>
    </r>
    <r>
      <rPr>
        <sz val="10"/>
        <rFont val="Verdana"/>
        <family val="2"/>
      </rPr>
      <t xml:space="preserve"> treatment) (select "Yes" or "No" from the drop-down list). Clocal</t>
    </r>
    <r>
      <rPr>
        <vertAlign val="subscript"/>
        <sz val="10"/>
        <rFont val="Verdana"/>
        <family val="2"/>
      </rPr>
      <t>soil</t>
    </r>
    <r>
      <rPr>
        <sz val="10"/>
        <rFont val="Verdana"/>
        <family val="2"/>
      </rPr>
      <t xml:space="preserve"> will be automatically filled in: with "0", if the choice was "No" or with the value calculated in the spreadsheet "PT8-prof&amp;amateur in situ treatm", if "Yes" was chosen.</t>
    </r>
  </si>
  <si>
    <r>
      <t>4. To consider the removal processes (in water), provide the following additional information in the "Input" table: k</t>
    </r>
    <r>
      <rPr>
        <vertAlign val="subscript"/>
        <sz val="10"/>
        <rFont val="Verdana"/>
        <family val="2"/>
      </rPr>
      <t>water</t>
    </r>
    <r>
      <rPr>
        <sz val="10"/>
        <rFont val="Verdana"/>
        <family val="2"/>
      </rPr>
      <t>, V</t>
    </r>
    <r>
      <rPr>
        <vertAlign val="subscript"/>
        <sz val="10"/>
        <rFont val="Verdana"/>
        <family val="2"/>
      </rPr>
      <t>sed</t>
    </r>
    <r>
      <rPr>
        <sz val="10"/>
        <rFont val="Verdana"/>
        <family val="2"/>
      </rPr>
      <t>, K</t>
    </r>
    <r>
      <rPr>
        <vertAlign val="subscript"/>
        <sz val="10"/>
        <rFont val="Verdana"/>
        <family val="2"/>
      </rPr>
      <t>sed-water</t>
    </r>
    <r>
      <rPr>
        <sz val="10"/>
        <rFont val="Verdana"/>
        <family val="2"/>
      </rPr>
      <t xml:space="preserve"> and Kp</t>
    </r>
    <r>
      <rPr>
        <vertAlign val="subscript"/>
        <sz val="10"/>
        <rFont val="Verdana"/>
        <family val="2"/>
      </rPr>
      <t>susp</t>
    </r>
    <r>
      <rPr>
        <sz val="10"/>
        <rFont val="Verdana"/>
        <family val="2"/>
      </rPr>
      <t>; if only the substance K</t>
    </r>
    <r>
      <rPr>
        <vertAlign val="subscript"/>
        <sz val="10"/>
        <rFont val="Verdana"/>
        <family val="2"/>
      </rPr>
      <t>oc</t>
    </r>
    <r>
      <rPr>
        <sz val="10"/>
        <rFont val="Verdana"/>
        <family val="2"/>
      </rPr>
      <t>, calculate separately Kp</t>
    </r>
    <r>
      <rPr>
        <vertAlign val="subscript"/>
        <sz val="10"/>
        <rFont val="Verdana"/>
        <family val="2"/>
      </rPr>
      <t>susp</t>
    </r>
    <r>
      <rPr>
        <sz val="10"/>
        <rFont val="Verdana"/>
        <family val="2"/>
      </rPr>
      <t xml:space="preserve"> and insert the value in the "Input" table.</t>
    </r>
  </si>
  <si>
    <t>A) House scenario including removal processes (ESD Table 4.15, p.70, Table 3.5, p.28 and Table 3.6, p.29)</t>
  </si>
  <si>
    <t>B) Fence scenario including removal processes (ESD Table 4.16, p.72, Table 3.5, p.28 and Table 3.6, p.29)</t>
  </si>
  <si>
    <t>C) Noise barrier scenario including removal processes (ESD Table 4.17, p.74, Table 3.5, p.28 and Table 3.6, p.29)</t>
  </si>
  <si>
    <t>D) Bridge over pond scenario including removal processes (ESD Table 4.18, p.76 and Table 3.8, p.31/32)</t>
  </si>
  <si>
    <t>B) Fence post (ESD Table 4.20 p.80 &amp; Table 3.8, p.33-34)</t>
  </si>
  <si>
    <t xml:space="preserve">ESD § 4.3.2, #213, p.68 </t>
  </si>
  <si>
    <t>A) Transmission pole (ESD Table 4.19 p.78, Table 3.5, p.28 and Table 3.6, p.29)</t>
  </si>
  <si>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post,above</t>
    </r>
    <r>
      <rPr>
        <sz val="10"/>
        <color theme="1"/>
        <rFont val="Verdana"/>
        <family val="2"/>
      </rPr>
      <t xml:space="preserve"> + AREA</t>
    </r>
    <r>
      <rPr>
        <vertAlign val="subscript"/>
        <sz val="10"/>
        <color theme="1"/>
        <rFont val="Verdana"/>
        <family val="2"/>
      </rPr>
      <t>post,below</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leach,TIME1</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</si>
  <si>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post,above</t>
    </r>
    <r>
      <rPr>
        <sz val="10"/>
        <color theme="1"/>
        <rFont val="Verdana"/>
        <family val="2"/>
      </rPr>
      <t xml:space="preserve"> + AREA</t>
    </r>
    <r>
      <rPr>
        <vertAlign val="subscript"/>
        <sz val="10"/>
        <color theme="1"/>
        <rFont val="Verdana"/>
        <family val="2"/>
      </rPr>
      <t>post,below</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leach,TIME2</t>
    </r>
  </si>
  <si>
    <r>
      <rPr>
        <b/>
        <sz val="10"/>
        <rFont val="Verdana"/>
        <family val="2"/>
      </rPr>
      <t>E</t>
    </r>
    <r>
      <rPr>
        <b/>
        <vertAlign val="subscript"/>
        <sz val="10"/>
        <rFont val="Verdana"/>
        <family val="2"/>
      </rPr>
      <t>soil,leach,TIME1</t>
    </r>
    <r>
      <rPr>
        <sz val="10"/>
        <rFont val="Verdana"/>
        <family val="2"/>
      </rPr>
      <t xml:space="preserve"> = (AREA</t>
    </r>
    <r>
      <rPr>
        <vertAlign val="subscript"/>
        <sz val="10"/>
        <rFont val="Verdana"/>
        <family val="2"/>
      </rPr>
      <t xml:space="preserve">post,above </t>
    </r>
    <r>
      <rPr>
        <sz val="10"/>
        <rFont val="Verdana"/>
        <family val="2"/>
      </rPr>
      <t>+ AREA</t>
    </r>
    <r>
      <rPr>
        <vertAlign val="subscript"/>
        <sz val="10"/>
        <rFont val="Verdana"/>
        <family val="2"/>
      </rPr>
      <t>post,below</t>
    </r>
    <r>
      <rPr>
        <sz val="10"/>
        <rFont val="Verdana"/>
        <family val="2"/>
      </rPr>
      <t>) *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</si>
  <si>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soil,leach,TIME2</t>
    </r>
    <r>
      <rPr>
        <sz val="10"/>
        <rFont val="Verdana"/>
        <family val="2"/>
      </rPr>
      <t xml:space="preserve"> = (AREA</t>
    </r>
    <r>
      <rPr>
        <vertAlign val="subscript"/>
        <sz val="10"/>
        <rFont val="Verdana"/>
        <family val="2"/>
      </rPr>
      <t xml:space="preserve">post,above </t>
    </r>
    <r>
      <rPr>
        <sz val="10"/>
        <rFont val="Verdana"/>
        <family val="2"/>
      </rPr>
      <t>+ AREA</t>
    </r>
    <r>
      <rPr>
        <vertAlign val="subscript"/>
        <sz val="10"/>
        <rFont val="Verdana"/>
        <family val="2"/>
      </rPr>
      <t>post,below</t>
    </r>
    <r>
      <rPr>
        <sz val="10"/>
        <rFont val="Verdana"/>
        <family val="2"/>
      </rPr>
      <t>) * Q</t>
    </r>
    <r>
      <rPr>
        <vertAlign val="superscript"/>
        <sz val="10"/>
        <rFont val="Verdana"/>
        <family val="2"/>
      </rPr>
      <t>*</t>
    </r>
    <r>
      <rPr>
        <vertAlign val="subscript"/>
        <sz val="10"/>
        <rFont val="Verdana"/>
        <family val="2"/>
      </rPr>
      <t>leach,TIME2</t>
    </r>
    <r>
      <rPr>
        <sz val="10"/>
        <rFont val="Verdana"/>
        <family val="2"/>
      </rPr>
      <t xml:space="preserve"> / TIME2</t>
    </r>
  </si>
  <si>
    <t>B) Fence post (ESD Table 4.20 p.80, Table 3.5, p.28 and Table 3.6, p.29)</t>
  </si>
  <si>
    <r>
      <rPr>
        <b/>
        <sz val="10"/>
        <rFont val="Verdana"/>
        <family val="2"/>
      </rPr>
      <t>E</t>
    </r>
    <r>
      <rPr>
        <b/>
        <vertAlign val="subscript"/>
        <sz val="10"/>
        <rFont val="Verdana"/>
        <family val="2"/>
      </rPr>
      <t>water,leach,TIME2</t>
    </r>
    <r>
      <rPr>
        <sz val="10"/>
        <rFont val="Verdana"/>
        <family val="2"/>
      </rPr>
      <t xml:space="preserve"> = (AREA</t>
    </r>
    <r>
      <rPr>
        <vertAlign val="subscript"/>
        <sz val="10"/>
        <rFont val="Verdana"/>
        <family val="2"/>
      </rPr>
      <t xml:space="preserve">planks </t>
    </r>
    <r>
      <rPr>
        <sz val="10"/>
        <rFont val="Verdana"/>
        <family val="2"/>
      </rPr>
      <t>+ AREA</t>
    </r>
    <r>
      <rPr>
        <vertAlign val="subscript"/>
        <sz val="10"/>
        <rFont val="Verdana"/>
        <family val="2"/>
      </rPr>
      <t>poles</t>
    </r>
    <r>
      <rPr>
        <sz val="10"/>
        <rFont val="Verdana"/>
        <family val="2"/>
      </rPr>
      <t>) * Q</t>
    </r>
    <r>
      <rPr>
        <vertAlign val="superscript"/>
        <sz val="10"/>
        <rFont val="Verdana"/>
        <family val="2"/>
      </rPr>
      <t>*</t>
    </r>
    <r>
      <rPr>
        <vertAlign val="subscript"/>
        <sz val="10"/>
        <rFont val="Verdana"/>
        <family val="2"/>
      </rPr>
      <t>leach,TIME2</t>
    </r>
    <r>
      <rPr>
        <sz val="10"/>
        <rFont val="Verdana"/>
        <family val="2"/>
      </rPr>
      <t xml:space="preserve"> / TIME2</t>
    </r>
  </si>
  <si>
    <t>B) Sheet piling in a waterway (ESD Table 4.22 p.83 and Table 3.8, p.33/34)</t>
  </si>
  <si>
    <t>Additional information needed to estimate emissions taking into account removal processes in the water body (Table 3.8, p.33/34)</t>
  </si>
  <si>
    <t>Considering removal processes in the water body (Table 3.8, p.33/34)</t>
  </si>
  <si>
    <r>
      <rPr>
        <b/>
        <sz val="10"/>
        <rFont val="Verdana"/>
        <family val="2"/>
      </rPr>
      <t>E</t>
    </r>
    <r>
      <rPr>
        <b/>
        <vertAlign val="subscript"/>
        <sz val="10"/>
        <rFont val="Verdana"/>
        <family val="2"/>
      </rPr>
      <t>water,leach,TIME1</t>
    </r>
    <r>
      <rPr>
        <sz val="10"/>
        <rFont val="Verdana"/>
        <family val="2"/>
      </rPr>
      <t xml:space="preserve"> = AREA</t>
    </r>
    <r>
      <rPr>
        <vertAlign val="subscript"/>
        <sz val="10"/>
        <rFont val="Verdana"/>
        <family val="2"/>
      </rPr>
      <t xml:space="preserve">poles </t>
    </r>
    <r>
      <rPr>
        <sz val="10"/>
        <rFont val="Verdana"/>
        <family val="2"/>
      </rPr>
      <t>*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</si>
  <si>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water,leach,TIME2</t>
    </r>
    <r>
      <rPr>
        <sz val="10"/>
        <rFont val="Verdana"/>
        <family val="2"/>
      </rPr>
      <t xml:space="preserve"> =</t>
    </r>
    <r>
      <rPr>
        <sz val="10"/>
        <rFont val="Verdana"/>
        <family val="2"/>
      </rPr>
      <t xml:space="preserve"> AREA</t>
    </r>
    <r>
      <rPr>
        <vertAlign val="subscript"/>
        <sz val="10"/>
        <rFont val="Verdana"/>
        <family val="2"/>
      </rPr>
      <t>poles</t>
    </r>
    <r>
      <rPr>
        <sz val="10"/>
        <rFont val="Verdana"/>
        <family val="2"/>
      </rPr>
      <t xml:space="preserve"> * Q</t>
    </r>
    <r>
      <rPr>
        <vertAlign val="superscript"/>
        <sz val="10"/>
        <rFont val="Verdana"/>
        <family val="2"/>
      </rPr>
      <t>*</t>
    </r>
    <r>
      <rPr>
        <vertAlign val="subscript"/>
        <sz val="10"/>
        <rFont val="Verdana"/>
        <family val="2"/>
      </rPr>
      <t>leach,TIME2</t>
    </r>
    <r>
      <rPr>
        <sz val="10"/>
        <rFont val="Verdana"/>
        <family val="2"/>
      </rPr>
      <t xml:space="preserve"> / TIME2</t>
    </r>
  </si>
  <si>
    <t>A) Jetty in a lake (ESD Table 4.21 p.82 and Table 3.8, p.31/32)</t>
  </si>
  <si>
    <t xml:space="preserve">ESD § 4.3.2, #214, p.68 </t>
  </si>
  <si>
    <t>Harbour wharf (ESD Table 4.23 p.85 and Table 3.8, p.33/34)</t>
  </si>
  <si>
    <r>
      <t>1. In the "Input" table, insert the values for Q</t>
    </r>
    <r>
      <rPr>
        <vertAlign val="subscript"/>
        <sz val="10"/>
        <rFont val="Verdana"/>
        <family val="2"/>
      </rPr>
      <t>applic,product</t>
    </r>
    <r>
      <rPr>
        <sz val="10"/>
        <rFont val="Verdana"/>
        <family val="2"/>
      </rPr>
      <t>, f</t>
    </r>
    <r>
      <rPr>
        <vertAlign val="subscript"/>
        <sz val="10"/>
        <rFont val="Verdana"/>
        <family val="2"/>
      </rPr>
      <t>ai</t>
    </r>
    <r>
      <rPr>
        <sz val="10"/>
        <rFont val="Verdana"/>
        <family val="2"/>
      </rPr>
      <t xml:space="preserve"> and RHO</t>
    </r>
    <r>
      <rPr>
        <vertAlign val="subscript"/>
        <sz val="10"/>
        <rFont val="Verdana"/>
        <family val="2"/>
      </rPr>
      <t>product</t>
    </r>
    <r>
      <rPr>
        <sz val="10"/>
        <rFont val="Verdana"/>
        <family val="2"/>
      </rPr>
      <t>. Select the units for Q</t>
    </r>
    <r>
      <rPr>
        <vertAlign val="subscript"/>
        <sz val="10"/>
        <rFont val="Verdana"/>
        <family val="2"/>
      </rPr>
      <t>applic,product</t>
    </r>
    <r>
      <rPr>
        <sz val="10"/>
        <rFont val="Verdana"/>
        <family val="2"/>
      </rPr>
      <t>.</t>
    </r>
  </si>
  <si>
    <t>Emissions from application (=Transmission pole scenario) (ESD Table 4.29, p.91)</t>
  </si>
  <si>
    <t>Emissions from treated wood after application (=Transmission pole scenario) (ESD Table 4.30, p.92)</t>
  </si>
  <si>
    <t>Area value used for the estimation of the emissions during service life</t>
  </si>
  <si>
    <t>Area value used for the estimation of the emissions during application</t>
  </si>
  <si>
    <r>
      <t>Assumed 5 years (</t>
    </r>
    <r>
      <rPr>
        <i/>
        <sz val="10"/>
        <rFont val="Verdana"/>
        <family val="2"/>
      </rPr>
      <t>in situ</t>
    </r>
    <r>
      <rPr>
        <sz val="10"/>
        <rFont val="Verdana"/>
        <family val="2"/>
      </rPr>
      <t xml:space="preserve"> treatment)</t>
    </r>
  </si>
  <si>
    <t>Volume of adjacent untreated soil (m3) - around the treated trench</t>
  </si>
  <si>
    <r>
      <t>VOLUME</t>
    </r>
    <r>
      <rPr>
        <vertAlign val="subscript"/>
        <sz val="10"/>
        <color theme="1"/>
        <rFont val="Verdana"/>
        <family val="2"/>
      </rPr>
      <t>treated,soil,total</t>
    </r>
  </si>
  <si>
    <r>
      <t>TIME</t>
    </r>
    <r>
      <rPr>
        <vertAlign val="subscript"/>
        <sz val="10"/>
        <color theme="1"/>
        <rFont val="Verdana"/>
        <family val="2"/>
      </rPr>
      <t>applic</t>
    </r>
  </si>
  <si>
    <t xml:space="preserve">Service life (ESD Table 4.37, p.108) </t>
  </si>
  <si>
    <r>
      <t>QA*</t>
    </r>
    <r>
      <rPr>
        <vertAlign val="subscript"/>
        <sz val="10"/>
        <rFont val="Verdana"/>
        <family val="2"/>
      </rPr>
      <t>leach,time1</t>
    </r>
    <r>
      <rPr>
        <sz val="10"/>
        <rFont val="Verdana"/>
        <family val="2"/>
      </rPr>
      <t xml:space="preserve"> = QA</t>
    </r>
    <r>
      <rPr>
        <vertAlign val="subscript"/>
        <sz val="10"/>
        <rFont val="Verdana"/>
        <family val="2"/>
      </rPr>
      <t>applic,product</t>
    </r>
  </si>
  <si>
    <t>Emission to soil after treatment</t>
  </si>
  <si>
    <t>Emission to air during treatment</t>
  </si>
  <si>
    <t>Emission to soil during treatment</t>
  </si>
  <si>
    <r>
      <t>Cumulative quantity of a substance leached out of 1 m</t>
    </r>
    <r>
      <rPr>
        <vertAlign val="superscript"/>
        <sz val="10"/>
        <rFont val="Verdana"/>
        <family val="2"/>
      </rPr>
      <t>2</t>
    </r>
    <r>
      <rPr>
        <sz val="10"/>
        <rFont val="Verdana"/>
        <family val="2"/>
      </rPr>
      <t xml:space="preserve"> of treated soil over the initial assessment period = Application rate of the diluted product to soil area and volume </t>
    </r>
  </si>
  <si>
    <r>
      <t>1. In the "Input" table, insert the values for QA</t>
    </r>
    <r>
      <rPr>
        <vertAlign val="subscript"/>
        <sz val="10"/>
        <rFont val="Verdana"/>
        <family val="2"/>
      </rPr>
      <t>applic,product</t>
    </r>
    <r>
      <rPr>
        <sz val="10"/>
        <rFont val="Verdana"/>
        <family val="2"/>
      </rPr>
      <t>, QV</t>
    </r>
    <r>
      <rPr>
        <vertAlign val="subscript"/>
        <sz val="10"/>
        <rFont val="Verdana"/>
        <family val="2"/>
      </rPr>
      <t>applic,product</t>
    </r>
    <r>
      <rPr>
        <sz val="10"/>
        <rFont val="Verdana"/>
        <family val="2"/>
      </rPr>
      <t>, f</t>
    </r>
    <r>
      <rPr>
        <vertAlign val="subscript"/>
        <sz val="10"/>
        <rFont val="Verdana"/>
        <family val="2"/>
      </rPr>
      <t>ai</t>
    </r>
    <r>
      <rPr>
        <sz val="10"/>
        <rFont val="Verdana"/>
        <family val="2"/>
      </rPr>
      <t xml:space="preserve"> and RHO</t>
    </r>
    <r>
      <rPr>
        <vertAlign val="subscript"/>
        <sz val="10"/>
        <rFont val="Verdana"/>
        <family val="2"/>
      </rPr>
      <t>product</t>
    </r>
    <r>
      <rPr>
        <sz val="10"/>
        <rFont val="Verdana"/>
        <family val="2"/>
      </rPr>
      <t>.</t>
    </r>
  </si>
  <si>
    <r>
      <t>3. Select the distance from the treated soil; the volume of the adjacent untreated soil (VOLUME</t>
    </r>
    <r>
      <rPr>
        <vertAlign val="subscript"/>
        <sz val="10"/>
        <rFont val="Verdana"/>
        <family val="2"/>
      </rPr>
      <t>adj</t>
    </r>
    <r>
      <rPr>
        <sz val="10"/>
        <rFont val="Verdana"/>
        <family val="2"/>
      </rPr>
      <t>trench,soil) will be will be automatically filled in with the corresponding default value.</t>
    </r>
  </si>
  <si>
    <r>
      <t>4. Select the substance Koc; the fraction of product leaching to deeper soil layers (F</t>
    </r>
    <r>
      <rPr>
        <vertAlign val="subscript"/>
        <sz val="10"/>
        <rFont val="Verdana"/>
        <family val="2"/>
      </rPr>
      <t>Koc</t>
    </r>
    <r>
      <rPr>
        <sz val="10"/>
        <rFont val="Verdana"/>
        <family val="2"/>
      </rPr>
      <t>) will be will be automatically filled in with the corresponding default value.</t>
    </r>
  </si>
  <si>
    <r>
      <t>3. Select the distance from the treated soil; the volume of the adjacent untreated soil (VOLUME</t>
    </r>
    <r>
      <rPr>
        <vertAlign val="subscript"/>
        <sz val="10"/>
        <rFont val="Verdana"/>
        <family val="2"/>
      </rPr>
      <t>adj</t>
    </r>
    <r>
      <rPr>
        <sz val="10"/>
        <rFont val="Verdana"/>
        <family val="2"/>
      </rPr>
      <t>house,soil) will be will be automatically filled in with the corresponding default value.</t>
    </r>
  </si>
  <si>
    <t>Product application (=House scenario) (ESD Table 4.38, p.113)</t>
  </si>
  <si>
    <t>Service life (=House scenario) (ESD Table 4.39. p.114)</t>
  </si>
  <si>
    <t>1. In the "Input" select area or volume in the drop-down list. The relevant area will be automatically filled in.</t>
  </si>
  <si>
    <t>This workbook provides a calculation tool for estimating the environmental releases from the use of biocides as wood preservatives. It consists of 15 spreadsheets, covering the emission scenarios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that needs to be taken into account in order to correctly use this workbook.</t>
  </si>
  <si>
    <t>k</t>
  </si>
  <si>
    <r>
      <t>For wood which is treated</t>
    </r>
    <r>
      <rPr>
        <b/>
        <i/>
        <sz val="10"/>
        <color rgb="FF002060"/>
        <rFont val="Verdana"/>
        <family val="2"/>
      </rPr>
      <t xml:space="preserve"> in situ</t>
    </r>
    <r>
      <rPr>
        <b/>
        <sz val="10"/>
        <color rgb="FF002060"/>
        <rFont val="Verdana"/>
        <family val="2"/>
      </rPr>
      <t xml:space="preserve"> emissions to soil can occur during the application itself and from leaching from the treated wood in service. Select below whether the scenario should include </t>
    </r>
    <r>
      <rPr>
        <b/>
        <i/>
        <sz val="10"/>
        <color rgb="FF002060"/>
        <rFont val="Verdana"/>
        <family val="2"/>
      </rPr>
      <t>in situ</t>
    </r>
    <r>
      <rPr>
        <b/>
        <sz val="10"/>
        <color rgb="FF002060"/>
        <rFont val="Verdana"/>
        <family val="2"/>
      </rPr>
      <t xml:space="preserve"> treatment or only leaching from wood in service. If </t>
    </r>
    <r>
      <rPr>
        <b/>
        <i/>
        <sz val="10"/>
        <color rgb="FF002060"/>
        <rFont val="Verdana"/>
        <family val="2"/>
      </rPr>
      <t>in situ</t>
    </r>
    <r>
      <rPr>
        <b/>
        <sz val="10"/>
        <color rgb="FF002060"/>
        <rFont val="Verdana"/>
        <family val="2"/>
      </rPr>
      <t xml:space="preserve"> treatment is to be included the emissions from application need to be calculated in advance (spreadsheet "PT8-prof&amp;amateur in situ treatm"). Please note that</t>
    </r>
    <r>
      <rPr>
        <b/>
        <i/>
        <sz val="10"/>
        <color rgb="FF002060"/>
        <rFont val="Verdana"/>
        <family val="2"/>
      </rPr>
      <t xml:space="preserve"> in situ </t>
    </r>
    <r>
      <rPr>
        <b/>
        <sz val="10"/>
        <color rgb="FF002060"/>
        <rFont val="Verdana"/>
        <family val="2"/>
      </rPr>
      <t>brushing is not possible for the noise barrier scenario.</t>
    </r>
  </si>
  <si>
    <r>
      <t xml:space="preserve">Include </t>
    </r>
    <r>
      <rPr>
        <i/>
        <sz val="10"/>
        <color theme="1"/>
        <rFont val="Verdana"/>
        <family val="2"/>
      </rPr>
      <t>in situ</t>
    </r>
    <r>
      <rPr>
        <sz val="10"/>
        <color theme="1"/>
        <rFont val="Verdana"/>
        <family val="2"/>
      </rPr>
      <t xml:space="preserve"> treatment ?</t>
    </r>
  </si>
  <si>
    <t>Content of substance in product (fraction)</t>
  </si>
  <si>
    <t>Value agreed at the WG IV 2015 (Tolyfluanid discussion) (20 years)</t>
  </si>
  <si>
    <t>Solubility in water at °C (mg/l)</t>
  </si>
  <si>
    <t>Select solubility in water at 20 °C (mg/l)</t>
  </si>
  <si>
    <r>
      <t>QV*</t>
    </r>
    <r>
      <rPr>
        <vertAlign val="subscript"/>
        <sz val="10"/>
        <rFont val="Verdana"/>
        <family val="2"/>
      </rPr>
      <t>leach,time1</t>
    </r>
    <r>
      <rPr>
        <sz val="10"/>
        <rFont val="Verdana"/>
        <family val="2"/>
      </rPr>
      <t xml:space="preserve"> = QV</t>
    </r>
    <r>
      <rPr>
        <vertAlign val="subscript"/>
        <sz val="10"/>
        <rFont val="Verdana"/>
        <family val="2"/>
      </rPr>
      <t>applic,product</t>
    </r>
  </si>
  <si>
    <r>
      <t>l.m</t>
    </r>
    <r>
      <rPr>
        <vertAlign val="superscript"/>
        <sz val="10"/>
        <color theme="1"/>
        <rFont val="Verdana"/>
        <family val="2"/>
      </rPr>
      <t xml:space="preserve">-3 </t>
    </r>
  </si>
  <si>
    <r>
      <t>l.m</t>
    </r>
    <r>
      <rPr>
        <vertAlign val="superscript"/>
        <sz val="10"/>
        <color theme="1"/>
        <rFont val="Verdana"/>
        <family val="2"/>
      </rPr>
      <t xml:space="preserve">-2 </t>
    </r>
    <r>
      <rPr>
        <sz val="10"/>
        <color theme="1"/>
        <rFont val="Verdana"/>
        <family val="2"/>
      </rPr>
      <t/>
    </r>
  </si>
  <si>
    <r>
      <t>QA*</t>
    </r>
    <r>
      <rPr>
        <vertAlign val="subscript"/>
        <sz val="10"/>
        <rFont val="Verdana"/>
        <family val="2"/>
      </rPr>
      <t>leach,time1</t>
    </r>
    <r>
      <rPr>
        <sz val="10"/>
        <rFont val="Verdana"/>
        <family val="2"/>
      </rPr>
      <t xml:space="preserve"> = QA</t>
    </r>
    <r>
      <rPr>
        <vertAlign val="subscript"/>
        <sz val="10"/>
        <rFont val="Verdana"/>
        <family val="2"/>
      </rPr>
      <t>applic,product</t>
    </r>
    <r>
      <rPr>
        <sz val="10"/>
        <rFont val="Verdana"/>
        <family val="2"/>
      </rPr>
      <t/>
    </r>
  </si>
  <si>
    <t>(nomenclature according to ESD #348, p.101)</t>
  </si>
  <si>
    <t>(nomenclature according to ESD #377, p.107)</t>
  </si>
  <si>
    <r>
      <t>A) Preventive pre-construction foundation treatment (</t>
    </r>
    <r>
      <rPr>
        <b/>
        <i/>
        <sz val="12"/>
        <color theme="3"/>
        <rFont val="Verdana"/>
        <family val="2"/>
      </rPr>
      <t>in situ</t>
    </r>
    <r>
      <rPr>
        <b/>
        <sz val="12"/>
        <color theme="3"/>
        <rFont val="Verdana"/>
        <family val="2"/>
      </rPr>
      <t xml:space="preserve"> treatment: ESD Table 4.34 p.99, and service life: Table 4.35 p. 102)</t>
    </r>
  </si>
  <si>
    <r>
      <t>B)  Post-construction trench treatment (</t>
    </r>
    <r>
      <rPr>
        <b/>
        <i/>
        <sz val="12"/>
        <color theme="3"/>
        <rFont val="Verdana"/>
        <family val="2"/>
      </rPr>
      <t>in situ</t>
    </r>
    <r>
      <rPr>
        <b/>
        <sz val="12"/>
        <color theme="3"/>
        <rFont val="Verdana"/>
        <family val="2"/>
      </rPr>
      <t xml:space="preserve"> treatment: ESD Table 4.36 p.105, and service life: Table 4.37 p. 108)</t>
    </r>
  </si>
  <si>
    <t>Treated wood area (leachable area)</t>
  </si>
  <si>
    <r>
      <t>AREA</t>
    </r>
    <r>
      <rPr>
        <vertAlign val="subscript"/>
        <sz val="10"/>
        <color theme="1"/>
        <rFont val="Verdana"/>
        <family val="2"/>
      </rPr>
      <t>house_leachable</t>
    </r>
  </si>
  <si>
    <r>
      <t>Cumulative quantity of substance leached out of 1 m</t>
    </r>
    <r>
      <rPr>
        <vertAlign val="superscript"/>
        <sz val="10"/>
        <color theme="1"/>
        <rFont val="Verdana"/>
        <family val="2"/>
      </rPr>
      <t>2</t>
    </r>
    <r>
      <rPr>
        <sz val="10"/>
        <color theme="1"/>
        <rFont val="Verdana"/>
        <family val="2"/>
      </rPr>
      <t xml:space="preserve"> or 1 m</t>
    </r>
    <r>
      <rPr>
        <vertAlign val="superscript"/>
        <sz val="10"/>
        <color theme="1"/>
        <rFont val="Verdana"/>
        <family val="2"/>
      </rPr>
      <t>3</t>
    </r>
    <r>
      <rPr>
        <sz val="10"/>
        <color theme="1"/>
        <rFont val="Verdana"/>
        <family val="2"/>
      </rPr>
      <t xml:space="preserve"> of treated wood over the initial assessment period</t>
    </r>
  </si>
  <si>
    <r>
      <t>Cumulative quantity of substance leached out of 1 m</t>
    </r>
    <r>
      <rPr>
        <vertAlign val="superscript"/>
        <sz val="10"/>
        <color theme="1"/>
        <rFont val="Verdana"/>
        <family val="2"/>
      </rPr>
      <t>2</t>
    </r>
    <r>
      <rPr>
        <sz val="10"/>
        <color theme="1"/>
        <rFont val="Verdana"/>
        <family val="2"/>
      </rPr>
      <t xml:space="preserve"> or 1 m</t>
    </r>
    <r>
      <rPr>
        <vertAlign val="superscript"/>
        <sz val="10"/>
        <color theme="1"/>
        <rFont val="Verdana"/>
        <family val="2"/>
      </rPr>
      <t>3</t>
    </r>
    <r>
      <rPr>
        <sz val="10"/>
        <color theme="1"/>
        <rFont val="Verdana"/>
        <family val="2"/>
      </rPr>
      <t xml:space="preserve"> of treated wood over a longer assessment period</t>
    </r>
  </si>
  <si>
    <r>
      <t>Note that if "area" is selected above, the cumulative quantity of substance leached out of</t>
    </r>
    <r>
      <rPr>
        <b/>
        <sz val="10"/>
        <color theme="1"/>
        <rFont val="Verdana"/>
        <family val="2"/>
      </rPr>
      <t xml:space="preserve"> 1 m</t>
    </r>
    <r>
      <rPr>
        <b/>
        <vertAlign val="superscript"/>
        <sz val="10"/>
        <color theme="1"/>
        <rFont val="Verdana"/>
        <family val="2"/>
      </rPr>
      <t>2</t>
    </r>
    <r>
      <rPr>
        <sz val="10"/>
        <color theme="1"/>
        <rFont val="Verdana"/>
        <family val="2"/>
      </rPr>
      <t xml:space="preserve"> over the relevant period should be provided here. If "volume" was selected, this parameter refers to the cumulative quantity of substance leached out of</t>
    </r>
    <r>
      <rPr>
        <b/>
        <sz val="10"/>
        <color theme="1"/>
        <rFont val="Verdana"/>
        <family val="2"/>
      </rPr>
      <t xml:space="preserve"> 1 m</t>
    </r>
    <r>
      <rPr>
        <b/>
        <vertAlign val="superscript"/>
        <sz val="10"/>
        <color theme="1"/>
        <rFont val="Verdana"/>
        <family val="2"/>
      </rPr>
      <t>3</t>
    </r>
    <r>
      <rPr>
        <sz val="10"/>
        <color theme="1"/>
        <rFont val="Verdana"/>
        <family val="2"/>
      </rPr>
      <t xml:space="preserve"> over the relevant period.</t>
    </r>
  </si>
  <si>
    <t>A)  Emission scenario for treated docks in service (ESD Table 4.42, p.120)</t>
  </si>
  <si>
    <t>B)  Emission scenario for treated decks/fences in service (ESD Table 4.43, p.121)</t>
  </si>
  <si>
    <t>Duration of a longer assessment period (service life)</t>
  </si>
  <si>
    <t>TIME3</t>
  </si>
  <si>
    <t>Duration of an intermediate assessment period not dependent of the service life</t>
  </si>
  <si>
    <r>
      <t>Q</t>
    </r>
    <r>
      <rPr>
        <vertAlign val="subscript"/>
        <sz val="10"/>
        <color theme="1"/>
        <rFont val="Verdana"/>
        <family val="2"/>
      </rPr>
      <t>leach,TIME3</t>
    </r>
  </si>
  <si>
    <r>
      <t>Q</t>
    </r>
    <r>
      <rPr>
        <b/>
        <vertAlign val="subscript"/>
        <sz val="10"/>
        <color theme="1"/>
        <rFont val="Verdana"/>
        <family val="2"/>
      </rPr>
      <t>leach,TIME3</t>
    </r>
    <r>
      <rPr>
        <sz val="10"/>
        <color theme="1"/>
        <rFont val="Verdana"/>
        <family val="2"/>
      </rPr>
      <t>= AREA</t>
    </r>
    <r>
      <rPr>
        <vertAlign val="subscript"/>
        <sz val="10"/>
        <color theme="1"/>
        <rFont val="Verdana"/>
        <family val="2"/>
      </rPr>
      <t>house</t>
    </r>
    <r>
      <rPr>
        <sz val="10"/>
        <color theme="1"/>
        <rFont val="Verdana"/>
        <family val="2"/>
      </rPr>
      <t xml:space="preserve"> * Q</t>
    </r>
    <r>
      <rPr>
        <vertAlign val="superscript"/>
        <sz val="10"/>
        <color theme="1"/>
        <rFont val="Verdana"/>
        <family val="2"/>
      </rPr>
      <t>*</t>
    </r>
    <r>
      <rPr>
        <vertAlign val="subscript"/>
        <sz val="10"/>
        <color theme="1"/>
        <rFont val="Verdana"/>
        <family val="2"/>
      </rPr>
      <t>leach,TIME3</t>
    </r>
  </si>
  <si>
    <r>
      <rPr>
        <b/>
        <sz val="10"/>
        <color theme="1"/>
        <rFont val="Verdana"/>
        <family val="2"/>
      </rPr>
      <t>Clocal</t>
    </r>
    <r>
      <rPr>
        <b/>
        <vertAlign val="subscript"/>
        <sz val="10"/>
        <color theme="1"/>
        <rFont val="Verdana"/>
        <family val="2"/>
      </rPr>
      <t>soil,leach,TIME3</t>
    </r>
    <r>
      <rPr>
        <sz val="10"/>
        <color theme="1"/>
        <rFont val="Verdana"/>
        <family val="2"/>
      </rPr>
      <t xml:space="preserve"> = Q</t>
    </r>
    <r>
      <rPr>
        <vertAlign val="subscript"/>
        <sz val="10"/>
        <color theme="1"/>
        <rFont val="Verdana"/>
        <family val="2"/>
      </rPr>
      <t>leach,TIME3</t>
    </r>
    <r>
      <rPr>
        <sz val="10"/>
        <color theme="1"/>
        <rFont val="Verdana"/>
        <family val="2"/>
      </rPr>
      <t xml:space="preserve"> /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</si>
  <si>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t>Clocal</t>
    </r>
    <r>
      <rPr>
        <vertAlign val="subscript"/>
        <sz val="10"/>
        <color theme="1"/>
        <rFont val="Verdana"/>
        <family val="2"/>
      </rPr>
      <t>soil,leach,TIME3</t>
    </r>
  </si>
  <si>
    <t>Concentration in local soil at the end of the intermediate assessment period</t>
  </si>
  <si>
    <r>
      <t>Cumulative quantity of substance leached out of 1 m</t>
    </r>
    <r>
      <rPr>
        <vertAlign val="superscript"/>
        <sz val="10"/>
        <color theme="1"/>
        <rFont val="Verdana"/>
        <family val="2"/>
      </rPr>
      <t>2</t>
    </r>
    <r>
      <rPr>
        <sz val="10"/>
        <color theme="1"/>
        <rFont val="Verdana"/>
        <family val="2"/>
      </rPr>
      <t xml:space="preserve"> of treated wood over the intermediate assessment period</t>
    </r>
  </si>
  <si>
    <r>
      <t>Q</t>
    </r>
    <r>
      <rPr>
        <vertAlign val="superscript"/>
        <sz val="10"/>
        <color theme="1"/>
        <rFont val="Verdana"/>
        <family val="2"/>
      </rPr>
      <t>*</t>
    </r>
    <r>
      <rPr>
        <vertAlign val="subscript"/>
        <sz val="10"/>
        <color theme="1"/>
        <rFont val="Verdana"/>
        <family val="2"/>
      </rPr>
      <t>leach,TIME3</t>
    </r>
  </si>
  <si>
    <t>TOTAL concentration in local soil at the end of the intermediate assessment period</t>
  </si>
  <si>
    <r>
      <t>Clocal</t>
    </r>
    <r>
      <rPr>
        <vertAlign val="subscript"/>
        <sz val="10"/>
        <color theme="1"/>
        <rFont val="Verdana"/>
        <family val="2"/>
      </rPr>
      <t>soil,total,TIME3</t>
    </r>
  </si>
  <si>
    <r>
      <rPr>
        <b/>
        <sz val="10"/>
        <color theme="1"/>
        <rFont val="Verdana"/>
        <family val="2"/>
      </rPr>
      <t>Clocal</t>
    </r>
    <r>
      <rPr>
        <b/>
        <vertAlign val="subscript"/>
        <sz val="10"/>
        <color theme="1"/>
        <rFont val="Verdana"/>
        <family val="2"/>
      </rPr>
      <t>soil,total,TIME3</t>
    </r>
    <r>
      <rPr>
        <b/>
        <sz val="10"/>
        <color theme="1"/>
        <rFont val="Verdana"/>
        <family val="2"/>
      </rPr>
      <t xml:space="preserve"> </t>
    </r>
    <r>
      <rPr>
        <sz val="10"/>
        <color theme="1"/>
        <rFont val="Verdana"/>
        <family val="2"/>
      </rPr>
      <t>= Clocal</t>
    </r>
    <r>
      <rPr>
        <vertAlign val="subscript"/>
        <sz val="10"/>
        <color theme="1"/>
        <rFont val="Verdana"/>
        <family val="2"/>
      </rPr>
      <t>soil,brush</t>
    </r>
    <r>
      <rPr>
        <sz val="10"/>
        <color theme="1"/>
        <rFont val="Verdana"/>
        <family val="2"/>
      </rPr>
      <t xml:space="preserve"> + Clocal</t>
    </r>
    <r>
      <rPr>
        <vertAlign val="subscript"/>
        <sz val="10"/>
        <color theme="1"/>
        <rFont val="Verdana"/>
        <family val="2"/>
      </rPr>
      <t>soil,leach,TIME3</t>
    </r>
  </si>
  <si>
    <t xml:space="preserve">Average daily emission of substance due to leaching over the intermediate assessment period </t>
  </si>
  <si>
    <r>
      <t>E</t>
    </r>
    <r>
      <rPr>
        <vertAlign val="subscript"/>
        <sz val="10"/>
        <color theme="1"/>
        <rFont val="Verdana"/>
        <family val="2"/>
      </rPr>
      <t>soil,leach,TIME3</t>
    </r>
  </si>
  <si>
    <r>
      <rPr>
        <b/>
        <sz val="10"/>
        <rFont val="Verdana"/>
        <family val="2"/>
      </rPr>
      <t>E</t>
    </r>
    <r>
      <rPr>
        <b/>
        <vertAlign val="subscript"/>
        <sz val="10"/>
        <rFont val="Verdana"/>
        <family val="2"/>
      </rPr>
      <t>soil,leach,TIME3</t>
    </r>
    <r>
      <rPr>
        <sz val="10"/>
        <rFont val="Verdana"/>
        <family val="2"/>
      </rPr>
      <t xml:space="preserve"> = AREA</t>
    </r>
    <r>
      <rPr>
        <vertAlign val="subscript"/>
        <sz val="10"/>
        <rFont val="Verdana"/>
        <family val="2"/>
      </rPr>
      <t>house</t>
    </r>
    <r>
      <rPr>
        <sz val="10"/>
        <rFont val="Verdana"/>
        <family val="2"/>
      </rPr>
      <t xml:space="preserve"> * Q</t>
    </r>
    <r>
      <rPr>
        <vertAlign val="superscript"/>
        <sz val="10"/>
        <rFont val="Verdana"/>
        <family val="2"/>
      </rPr>
      <t>*</t>
    </r>
    <r>
      <rPr>
        <vertAlign val="subscript"/>
        <sz val="10"/>
        <rFont val="Verdana"/>
        <family val="2"/>
      </rPr>
      <t>leach,TIME3</t>
    </r>
    <r>
      <rPr>
        <sz val="10"/>
        <rFont val="Verdana"/>
        <family val="2"/>
      </rPr>
      <t xml:space="preserve"> / TIME3</t>
    </r>
  </si>
  <si>
    <r>
      <t>Clocal</t>
    </r>
    <r>
      <rPr>
        <vertAlign val="subscript"/>
        <sz val="10"/>
        <color theme="1"/>
        <rFont val="Verdana"/>
        <family val="2"/>
      </rPr>
      <t>soil,TIME3</t>
    </r>
  </si>
  <si>
    <r>
      <t>Clocal</t>
    </r>
    <r>
      <rPr>
        <vertAlign val="subscript"/>
        <sz val="10"/>
        <color theme="1"/>
        <rFont val="Verdana"/>
        <family val="2"/>
      </rPr>
      <t>pore,TIME3</t>
    </r>
  </si>
  <si>
    <t>Concentration in soil pore water after the intermediate assessment period</t>
  </si>
  <si>
    <r>
      <rPr>
        <b/>
        <sz val="10"/>
        <rFont val="Verdana"/>
        <family val="2"/>
      </rPr>
      <t>Clocal</t>
    </r>
    <r>
      <rPr>
        <b/>
        <vertAlign val="subscript"/>
        <sz val="10"/>
        <rFont val="Verdana"/>
        <family val="2"/>
      </rPr>
      <t>soil,TIME3</t>
    </r>
    <r>
      <rPr>
        <sz val="10"/>
        <rFont val="Verdana"/>
        <family val="2"/>
      </rPr>
      <t xml:space="preserve">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soil,brush_fence</t>
    </r>
    <r>
      <rPr>
        <sz val="10"/>
        <rFont val="Verdana"/>
        <family val="2"/>
      </rPr>
      <t>] * e</t>
    </r>
    <r>
      <rPr>
        <vertAlign val="superscript"/>
        <sz val="10"/>
        <rFont val="Verdana"/>
        <family val="2"/>
      </rPr>
      <t>-TIME3*k</t>
    </r>
  </si>
  <si>
    <r>
      <t>Q</t>
    </r>
    <r>
      <rPr>
        <b/>
        <vertAlign val="subscript"/>
        <sz val="10"/>
        <color theme="1"/>
        <rFont val="Verdana"/>
        <family val="2"/>
      </rPr>
      <t>leach,TIME3</t>
    </r>
    <r>
      <rPr>
        <b/>
        <sz val="10"/>
        <color theme="1"/>
        <rFont val="Verdana"/>
        <family val="2"/>
      </rPr>
      <t xml:space="preserve"> </t>
    </r>
    <r>
      <rPr>
        <sz val="10"/>
        <color theme="1"/>
        <rFont val="Verdana"/>
        <family val="2"/>
      </rPr>
      <t>= AREA</t>
    </r>
    <r>
      <rPr>
        <vertAlign val="subscript"/>
        <sz val="10"/>
        <color theme="1"/>
        <rFont val="Verdana"/>
        <family val="2"/>
      </rPr>
      <t>noise-barrier</t>
    </r>
    <r>
      <rPr>
        <sz val="10"/>
        <color theme="1"/>
        <rFont val="Verdana"/>
        <family val="2"/>
      </rPr>
      <t xml:space="preserve"> * F</t>
    </r>
    <r>
      <rPr>
        <vertAlign val="subscript"/>
        <sz val="10"/>
        <color theme="1"/>
        <rFont val="Verdana"/>
        <family val="2"/>
      </rPr>
      <t>Soil</t>
    </r>
    <r>
      <rPr>
        <sz val="10"/>
        <color theme="1"/>
        <rFont val="Verdana"/>
        <family val="2"/>
      </rPr>
      <t xml:space="preserve"> * Q</t>
    </r>
    <r>
      <rPr>
        <vertAlign val="superscript"/>
        <sz val="10"/>
        <color theme="1"/>
        <rFont val="Verdana"/>
        <family val="2"/>
      </rPr>
      <t>*</t>
    </r>
    <r>
      <rPr>
        <vertAlign val="subscript"/>
        <sz val="10"/>
        <color theme="1"/>
        <rFont val="Verdana"/>
        <family val="2"/>
      </rPr>
      <t>leach,TIME3</t>
    </r>
  </si>
  <si>
    <t>Local daily emission rate to the STP following leaching from treated wood during the intermediate assessment period</t>
  </si>
  <si>
    <r>
      <t>E</t>
    </r>
    <r>
      <rPr>
        <vertAlign val="subscript"/>
        <sz val="10"/>
        <color theme="1"/>
        <rFont val="Verdana"/>
        <family val="2"/>
      </rPr>
      <t>STP,TIME3</t>
    </r>
  </si>
  <si>
    <r>
      <rPr>
        <b/>
        <sz val="10"/>
        <color theme="1"/>
        <rFont val="Verdana"/>
        <family val="2"/>
      </rPr>
      <t>E</t>
    </r>
    <r>
      <rPr>
        <b/>
        <vertAlign val="subscript"/>
        <sz val="10"/>
        <color theme="1"/>
        <rFont val="Verdana"/>
        <family val="2"/>
      </rPr>
      <t>STP,TIME3</t>
    </r>
    <r>
      <rPr>
        <sz val="10"/>
        <color theme="1"/>
        <rFont val="Verdana"/>
        <family val="2"/>
      </rPr>
      <t xml:space="preserve"> = AREA</t>
    </r>
    <r>
      <rPr>
        <vertAlign val="subscript"/>
        <sz val="10"/>
        <color theme="1"/>
        <rFont val="Verdana"/>
        <family val="2"/>
      </rPr>
      <t>noise-barrier</t>
    </r>
    <r>
      <rPr>
        <sz val="10"/>
        <color theme="1"/>
        <rFont val="Verdana"/>
        <family val="2"/>
      </rPr>
      <t xml:space="preserve"> * F</t>
    </r>
    <r>
      <rPr>
        <vertAlign val="subscript"/>
        <sz val="10"/>
        <color theme="1"/>
        <rFont val="Verdana"/>
        <family val="2"/>
      </rPr>
      <t>STP</t>
    </r>
    <r>
      <rPr>
        <sz val="10"/>
        <color theme="1"/>
        <rFont val="Verdana"/>
        <family val="2"/>
      </rPr>
      <t xml:space="preserve"> * Q</t>
    </r>
    <r>
      <rPr>
        <vertAlign val="superscript"/>
        <sz val="10"/>
        <color theme="1"/>
        <rFont val="Verdana"/>
        <family val="2"/>
      </rPr>
      <t>*</t>
    </r>
    <r>
      <rPr>
        <vertAlign val="subscript"/>
        <sz val="10"/>
        <color theme="1"/>
        <rFont val="Verdana"/>
        <family val="2"/>
      </rPr>
      <t>leach,TIME3</t>
    </r>
    <r>
      <rPr>
        <sz val="10"/>
        <color theme="1"/>
        <rFont val="Verdana"/>
        <family val="2"/>
      </rPr>
      <t>/TIME3</t>
    </r>
  </si>
  <si>
    <r>
      <rPr>
        <b/>
        <sz val="10"/>
        <rFont val="Verdana"/>
        <family val="2"/>
      </rPr>
      <t>E</t>
    </r>
    <r>
      <rPr>
        <b/>
        <vertAlign val="subscript"/>
        <sz val="10"/>
        <rFont val="Verdana"/>
        <family val="2"/>
      </rPr>
      <t>soil,leach,TIME3</t>
    </r>
    <r>
      <rPr>
        <sz val="10"/>
        <rFont val="Verdana"/>
        <family val="2"/>
      </rPr>
      <t xml:space="preserve"> = AREA</t>
    </r>
    <r>
      <rPr>
        <vertAlign val="subscript"/>
        <sz val="10"/>
        <rFont val="Verdana"/>
        <family val="2"/>
      </rPr>
      <t>noise-barrier</t>
    </r>
    <r>
      <rPr>
        <sz val="10"/>
        <rFont val="Verdana"/>
        <family val="2"/>
      </rPr>
      <t xml:space="preserve"> * F</t>
    </r>
    <r>
      <rPr>
        <vertAlign val="subscript"/>
        <sz val="10"/>
        <rFont val="Verdana"/>
        <family val="2"/>
      </rPr>
      <t>soil</t>
    </r>
    <r>
      <rPr>
        <sz val="10"/>
        <rFont val="Verdana"/>
        <family val="2"/>
      </rPr>
      <t xml:space="preserve"> * Q</t>
    </r>
    <r>
      <rPr>
        <vertAlign val="superscript"/>
        <sz val="10"/>
        <rFont val="Verdana"/>
        <family val="2"/>
      </rPr>
      <t>*</t>
    </r>
    <r>
      <rPr>
        <vertAlign val="subscript"/>
        <sz val="10"/>
        <rFont val="Verdana"/>
        <family val="2"/>
      </rPr>
      <t>leach,TIME3</t>
    </r>
    <r>
      <rPr>
        <sz val="10"/>
        <rFont val="Verdana"/>
        <family val="2"/>
      </rPr>
      <t xml:space="preserve"> / TIME3</t>
    </r>
  </si>
  <si>
    <t>Concentration in local soil over the intermediate assessment period</t>
  </si>
  <si>
    <r>
      <rPr>
        <b/>
        <sz val="10"/>
        <rFont val="Verdana"/>
        <family val="2"/>
      </rPr>
      <t>Clocal</t>
    </r>
    <r>
      <rPr>
        <b/>
        <vertAlign val="subscript"/>
        <sz val="10"/>
        <rFont val="Verdana"/>
        <family val="2"/>
      </rPr>
      <t>soil,TIME3</t>
    </r>
    <r>
      <rPr>
        <sz val="10"/>
        <rFont val="Verdana"/>
        <family val="2"/>
      </rPr>
      <t xml:space="preserve">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perscript"/>
        <sz val="10"/>
        <rFont val="Verdana"/>
        <family val="2"/>
      </rPr>
      <t>-TIME3*k</t>
    </r>
  </si>
  <si>
    <t xml:space="preserve">Concentration in soil pore water over the intermediate assessment period </t>
  </si>
  <si>
    <t>Cumulative quantity of substance, leached over the intermediate assessment period</t>
  </si>
  <si>
    <t>Average daily emission of substance due to leaching over the intermediate assessment period</t>
  </si>
  <si>
    <t>Concentration in soil pore water over the intermediate assessment period</t>
  </si>
  <si>
    <r>
      <t>Q</t>
    </r>
    <r>
      <rPr>
        <b/>
        <vertAlign val="subscript"/>
        <sz val="10"/>
        <color theme="1"/>
        <rFont val="Verdana"/>
        <family val="2"/>
      </rPr>
      <t>leach,TIME3</t>
    </r>
    <r>
      <rPr>
        <b/>
        <sz val="10"/>
        <color theme="1"/>
        <rFont val="Verdana"/>
        <family val="2"/>
      </rPr>
      <t xml:space="preserve"> </t>
    </r>
    <r>
      <rPr>
        <sz val="10"/>
        <color theme="1"/>
        <rFont val="Verdana"/>
        <family val="2"/>
      </rPr>
      <t>= AREA</t>
    </r>
    <r>
      <rPr>
        <vertAlign val="subscript"/>
        <sz val="10"/>
        <color theme="1"/>
        <rFont val="Verdana"/>
        <family val="2"/>
      </rPr>
      <t>bridge</t>
    </r>
    <r>
      <rPr>
        <sz val="10"/>
        <color theme="1"/>
        <rFont val="Verdana"/>
        <family val="2"/>
      </rPr>
      <t xml:space="preserve"> * Q</t>
    </r>
    <r>
      <rPr>
        <vertAlign val="superscript"/>
        <sz val="10"/>
        <color theme="1"/>
        <rFont val="Verdana"/>
        <family val="2"/>
      </rPr>
      <t>*</t>
    </r>
    <r>
      <rPr>
        <vertAlign val="subscript"/>
        <sz val="10"/>
        <color theme="1"/>
        <rFont val="Verdana"/>
        <family val="2"/>
      </rPr>
      <t>leach,TIME3</t>
    </r>
  </si>
  <si>
    <t>Concentration in local water at the end of the intermediate assessment period</t>
  </si>
  <si>
    <r>
      <t>Clocal</t>
    </r>
    <r>
      <rPr>
        <vertAlign val="subscript"/>
        <sz val="10"/>
        <color theme="1"/>
        <rFont val="Verdana"/>
        <family val="2"/>
      </rPr>
      <t>water,leach,TIME3</t>
    </r>
  </si>
  <si>
    <t>TOTAL concentration in local water at the end of the intermediate assessment period</t>
  </si>
  <si>
    <r>
      <t>Clocal</t>
    </r>
    <r>
      <rPr>
        <vertAlign val="subscript"/>
        <sz val="10"/>
        <color theme="1"/>
        <rFont val="Verdana"/>
        <family val="2"/>
      </rPr>
      <t>water,total,TIME3</t>
    </r>
  </si>
  <si>
    <r>
      <rPr>
        <b/>
        <sz val="10"/>
        <color theme="1"/>
        <rFont val="Verdana"/>
        <family val="2"/>
      </rPr>
      <t>Clocal</t>
    </r>
    <r>
      <rPr>
        <b/>
        <vertAlign val="subscript"/>
        <sz val="10"/>
        <color theme="1"/>
        <rFont val="Verdana"/>
        <family val="2"/>
      </rPr>
      <t>water,total,TIME3</t>
    </r>
    <r>
      <rPr>
        <b/>
        <sz val="10"/>
        <color theme="1"/>
        <rFont val="Verdana"/>
        <family val="2"/>
      </rPr>
      <t xml:space="preserve"> </t>
    </r>
    <r>
      <rPr>
        <sz val="10"/>
        <color theme="1"/>
        <rFont val="Verdana"/>
        <family val="2"/>
      </rPr>
      <t>= Clocal</t>
    </r>
    <r>
      <rPr>
        <vertAlign val="subscript"/>
        <sz val="10"/>
        <color theme="1"/>
        <rFont val="Verdana"/>
        <family val="2"/>
      </rPr>
      <t>water,brush</t>
    </r>
    <r>
      <rPr>
        <sz val="10"/>
        <color theme="1"/>
        <rFont val="Verdana"/>
        <family val="2"/>
      </rPr>
      <t>+Clocal</t>
    </r>
    <r>
      <rPr>
        <vertAlign val="subscript"/>
        <sz val="10"/>
        <color theme="1"/>
        <rFont val="Verdana"/>
        <family val="2"/>
      </rPr>
      <t>water,leach,TIME3</t>
    </r>
  </si>
  <si>
    <t>Average daily emission due to leaching over the intermediate assessment period</t>
  </si>
  <si>
    <r>
      <t>E</t>
    </r>
    <r>
      <rPr>
        <vertAlign val="subscript"/>
        <sz val="10"/>
        <rFont val="Verdana"/>
        <family val="2"/>
      </rPr>
      <t>water,leach,TIME3</t>
    </r>
  </si>
  <si>
    <r>
      <rPr>
        <b/>
        <sz val="10"/>
        <rFont val="Verdana"/>
        <family val="2"/>
      </rPr>
      <t>E</t>
    </r>
    <r>
      <rPr>
        <b/>
        <vertAlign val="subscript"/>
        <sz val="10"/>
        <rFont val="Verdana"/>
        <family val="2"/>
      </rPr>
      <t>water,leach,TIME3</t>
    </r>
    <r>
      <rPr>
        <sz val="10"/>
        <rFont val="Verdana"/>
        <family val="2"/>
      </rPr>
      <t xml:space="preserve"> = AREA</t>
    </r>
    <r>
      <rPr>
        <vertAlign val="subscript"/>
        <sz val="10"/>
        <rFont val="Verdana"/>
        <family val="2"/>
      </rPr>
      <t>bridge</t>
    </r>
    <r>
      <rPr>
        <sz val="10"/>
        <rFont val="Verdana"/>
        <family val="2"/>
      </rPr>
      <t xml:space="preserve"> * Q</t>
    </r>
    <r>
      <rPr>
        <vertAlign val="superscript"/>
        <sz val="10"/>
        <rFont val="Verdana"/>
        <family val="2"/>
      </rPr>
      <t>*</t>
    </r>
    <r>
      <rPr>
        <vertAlign val="subscript"/>
        <sz val="10"/>
        <rFont val="Verdana"/>
        <family val="2"/>
      </rPr>
      <t>leach,TIME3</t>
    </r>
    <r>
      <rPr>
        <sz val="10"/>
        <rFont val="Verdana"/>
        <family val="2"/>
      </rPr>
      <t xml:space="preserve"> / TIME3</t>
    </r>
  </si>
  <si>
    <t>Time weighted concentration in local water over the intermediate assessment period</t>
  </si>
  <si>
    <r>
      <t>Clocal</t>
    </r>
    <r>
      <rPr>
        <vertAlign val="subscript"/>
        <sz val="10"/>
        <rFont val="Verdana"/>
        <family val="2"/>
      </rPr>
      <t>water,TIME3</t>
    </r>
  </si>
  <si>
    <t>2. Select the application method/process; TIME3 will be automatically filled in.</t>
  </si>
  <si>
    <r>
      <t>3. Insert Q*</t>
    </r>
    <r>
      <rPr>
        <vertAlign val="subscript"/>
        <sz val="10"/>
        <rFont val="Verdana"/>
        <family val="2"/>
      </rPr>
      <t>leach,TIME1</t>
    </r>
    <r>
      <rPr>
        <sz val="10"/>
        <rFont val="Verdana"/>
        <family val="2"/>
      </rPr>
      <t>, Q*</t>
    </r>
    <r>
      <rPr>
        <vertAlign val="subscript"/>
        <sz val="10"/>
        <rFont val="Verdana"/>
        <family val="2"/>
      </rPr>
      <t>leach,TIME2</t>
    </r>
    <r>
      <rPr>
        <sz val="10"/>
        <rFont val="Verdana"/>
        <family val="2"/>
      </rPr>
      <t xml:space="preserve"> and Q*</t>
    </r>
    <r>
      <rPr>
        <vertAlign val="subscript"/>
        <sz val="10"/>
        <rFont val="Verdana"/>
        <family val="2"/>
      </rPr>
      <t>leach,TIME3</t>
    </r>
    <r>
      <rPr>
        <sz val="10"/>
        <rFont val="Verdana"/>
        <family val="2"/>
      </rPr>
      <t xml:space="preserve"> values.</t>
    </r>
  </si>
  <si>
    <t>1. In the "Input" table select the application method/process; TIME3 will be automatically filled in.</t>
  </si>
  <si>
    <r>
      <t>2. Insert Q*</t>
    </r>
    <r>
      <rPr>
        <vertAlign val="subscript"/>
        <sz val="10"/>
        <rFont val="Verdana"/>
        <family val="2"/>
      </rPr>
      <t>leach,TIME1</t>
    </r>
    <r>
      <rPr>
        <sz val="10"/>
        <rFont val="Verdana"/>
        <family val="2"/>
      </rPr>
      <t>, Q*</t>
    </r>
    <r>
      <rPr>
        <vertAlign val="subscript"/>
        <sz val="10"/>
        <rFont val="Verdana"/>
        <family val="2"/>
      </rPr>
      <t>leach,TIME2</t>
    </r>
    <r>
      <rPr>
        <sz val="10"/>
        <rFont val="Verdana"/>
        <family val="2"/>
      </rPr>
      <t xml:space="preserve"> and Q*</t>
    </r>
    <r>
      <rPr>
        <vertAlign val="subscript"/>
        <sz val="10"/>
        <rFont val="Verdana"/>
        <family val="2"/>
      </rPr>
      <t>leach,TIME3</t>
    </r>
    <r>
      <rPr>
        <sz val="10"/>
        <rFont val="Verdana"/>
        <family val="2"/>
      </rPr>
      <t xml:space="preserve"> values.</t>
    </r>
  </si>
  <si>
    <t>Duration of an intermediate assessment period</t>
  </si>
  <si>
    <r>
      <t>Q</t>
    </r>
    <r>
      <rPr>
        <b/>
        <vertAlign val="subscript"/>
        <sz val="10"/>
        <color theme="1"/>
        <rFont val="Verdana"/>
        <family val="2"/>
      </rPr>
      <t>leach,TIME3</t>
    </r>
    <r>
      <rPr>
        <b/>
        <sz val="10"/>
        <color theme="1"/>
        <rFont val="Verdana"/>
        <family val="2"/>
      </rPr>
      <t xml:space="preserve"> </t>
    </r>
    <r>
      <rPr>
        <sz val="10"/>
        <color theme="1"/>
        <rFont val="Verdana"/>
        <family val="2"/>
      </rPr>
      <t>= (AREA</t>
    </r>
    <r>
      <rPr>
        <vertAlign val="subscript"/>
        <sz val="10"/>
        <color theme="1"/>
        <rFont val="Verdana"/>
        <family val="2"/>
      </rPr>
      <t>pole,above</t>
    </r>
    <r>
      <rPr>
        <sz val="10"/>
        <color theme="1"/>
        <rFont val="Verdana"/>
        <family val="2"/>
      </rPr>
      <t xml:space="preserve"> + AREA</t>
    </r>
    <r>
      <rPr>
        <vertAlign val="subscript"/>
        <sz val="10"/>
        <color theme="1"/>
        <rFont val="Verdana"/>
        <family val="2"/>
      </rPr>
      <t>pole,below</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leach,TIME3</t>
    </r>
  </si>
  <si>
    <r>
      <rPr>
        <b/>
        <sz val="10"/>
        <color theme="1"/>
        <rFont val="Verdana"/>
        <family val="2"/>
      </rPr>
      <t>Clocal</t>
    </r>
    <r>
      <rPr>
        <b/>
        <vertAlign val="subscript"/>
        <sz val="10"/>
        <color theme="1"/>
        <rFont val="Verdana"/>
        <family val="2"/>
      </rPr>
      <t>soil,leach,TIME3</t>
    </r>
    <r>
      <rPr>
        <sz val="10"/>
        <color theme="1"/>
        <rFont val="Verdana"/>
        <family val="2"/>
      </rPr>
      <t xml:space="preserve"> = Q</t>
    </r>
    <r>
      <rPr>
        <vertAlign val="subscript"/>
        <sz val="10"/>
        <color theme="1"/>
        <rFont val="Verdana"/>
        <family val="2"/>
      </rPr>
      <t>leach,TIME3</t>
    </r>
    <r>
      <rPr>
        <sz val="10"/>
        <color theme="1"/>
        <rFont val="Verdana"/>
        <family val="2"/>
      </rPr>
      <t xml:space="preserve"> /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 xml:space="preserve">) </t>
    </r>
  </si>
  <si>
    <r>
      <t>E</t>
    </r>
    <r>
      <rPr>
        <vertAlign val="subscript"/>
        <sz val="10"/>
        <rFont val="Verdana"/>
        <family val="2"/>
      </rPr>
      <t>soil,leach,TIME3</t>
    </r>
  </si>
  <si>
    <r>
      <rPr>
        <b/>
        <sz val="10"/>
        <rFont val="Verdana"/>
        <family val="2"/>
      </rPr>
      <t>E</t>
    </r>
    <r>
      <rPr>
        <b/>
        <vertAlign val="subscript"/>
        <sz val="10"/>
        <rFont val="Verdana"/>
        <family val="2"/>
      </rPr>
      <t>soil,leach,TIME3</t>
    </r>
    <r>
      <rPr>
        <sz val="10"/>
        <rFont val="Verdana"/>
        <family val="2"/>
      </rPr>
      <t xml:space="preserve"> = (AREA</t>
    </r>
    <r>
      <rPr>
        <vertAlign val="subscript"/>
        <sz val="10"/>
        <rFont val="Verdana"/>
        <family val="2"/>
      </rPr>
      <t xml:space="preserve">pole,above </t>
    </r>
    <r>
      <rPr>
        <sz val="10"/>
        <rFont val="Verdana"/>
        <family val="2"/>
      </rPr>
      <t>+ AREA</t>
    </r>
    <r>
      <rPr>
        <vertAlign val="subscript"/>
        <sz val="10"/>
        <rFont val="Verdana"/>
        <family val="2"/>
      </rPr>
      <t>pole,below</t>
    </r>
    <r>
      <rPr>
        <sz val="10"/>
        <rFont val="Verdana"/>
        <family val="2"/>
      </rPr>
      <t>) * Q</t>
    </r>
    <r>
      <rPr>
        <vertAlign val="superscript"/>
        <sz val="10"/>
        <rFont val="Verdana"/>
        <family val="2"/>
      </rPr>
      <t>*</t>
    </r>
    <r>
      <rPr>
        <vertAlign val="subscript"/>
        <sz val="10"/>
        <rFont val="Verdana"/>
        <family val="2"/>
      </rPr>
      <t>leach,TIME3</t>
    </r>
    <r>
      <rPr>
        <sz val="10"/>
        <rFont val="Verdana"/>
        <family val="2"/>
      </rPr>
      <t xml:space="preserve"> / TIME3</t>
    </r>
  </si>
  <si>
    <r>
      <t>Q</t>
    </r>
    <r>
      <rPr>
        <b/>
        <vertAlign val="subscript"/>
        <sz val="10"/>
        <color theme="1"/>
        <rFont val="Verdana"/>
        <family val="2"/>
      </rPr>
      <t>leach,TIME3</t>
    </r>
    <r>
      <rPr>
        <b/>
        <sz val="10"/>
        <color theme="1"/>
        <rFont val="Verdana"/>
        <family val="2"/>
      </rPr>
      <t xml:space="preserve"> </t>
    </r>
    <r>
      <rPr>
        <sz val="10"/>
        <color theme="1"/>
        <rFont val="Verdana"/>
        <family val="2"/>
      </rPr>
      <t>= (AREA</t>
    </r>
    <r>
      <rPr>
        <vertAlign val="subscript"/>
        <sz val="10"/>
        <color theme="1"/>
        <rFont val="Verdana"/>
        <family val="2"/>
      </rPr>
      <t>post,above</t>
    </r>
    <r>
      <rPr>
        <sz val="10"/>
        <color theme="1"/>
        <rFont val="Verdana"/>
        <family val="2"/>
      </rPr>
      <t xml:space="preserve"> + AREA</t>
    </r>
    <r>
      <rPr>
        <vertAlign val="subscript"/>
        <sz val="10"/>
        <color theme="1"/>
        <rFont val="Verdana"/>
        <family val="2"/>
      </rPr>
      <t>post,below</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leach,TIME3</t>
    </r>
  </si>
  <si>
    <r>
      <rPr>
        <b/>
        <sz val="10"/>
        <rFont val="Verdana"/>
        <family val="2"/>
      </rPr>
      <t>E</t>
    </r>
    <r>
      <rPr>
        <b/>
        <vertAlign val="subscript"/>
        <sz val="10"/>
        <rFont val="Verdana"/>
        <family val="2"/>
      </rPr>
      <t>soil,leach,TIME3</t>
    </r>
    <r>
      <rPr>
        <sz val="10"/>
        <rFont val="Verdana"/>
        <family val="2"/>
      </rPr>
      <t xml:space="preserve"> = (AREA</t>
    </r>
    <r>
      <rPr>
        <vertAlign val="subscript"/>
        <sz val="10"/>
        <rFont val="Verdana"/>
        <family val="2"/>
      </rPr>
      <t xml:space="preserve">post,above </t>
    </r>
    <r>
      <rPr>
        <sz val="10"/>
        <rFont val="Verdana"/>
        <family val="2"/>
      </rPr>
      <t>+ AREA</t>
    </r>
    <r>
      <rPr>
        <vertAlign val="subscript"/>
        <sz val="10"/>
        <rFont val="Verdana"/>
        <family val="2"/>
      </rPr>
      <t>post,below</t>
    </r>
    <r>
      <rPr>
        <sz val="10"/>
        <rFont val="Verdana"/>
        <family val="2"/>
      </rPr>
      <t>) * Q</t>
    </r>
    <r>
      <rPr>
        <vertAlign val="superscript"/>
        <sz val="10"/>
        <rFont val="Verdana"/>
        <family val="2"/>
      </rPr>
      <t>*</t>
    </r>
    <r>
      <rPr>
        <vertAlign val="subscript"/>
        <sz val="10"/>
        <rFont val="Verdana"/>
        <family val="2"/>
      </rPr>
      <t>leach,TIME3</t>
    </r>
    <r>
      <rPr>
        <sz val="10"/>
        <rFont val="Verdana"/>
        <family val="2"/>
      </rPr>
      <t xml:space="preserve"> / TIME3</t>
    </r>
  </si>
  <si>
    <t>Concentration in local soil after the intermediate assessment period</t>
  </si>
  <si>
    <t>Cumulative quantity of substance, leached over the intermediate  assessment period</t>
  </si>
  <si>
    <r>
      <t>Q</t>
    </r>
    <r>
      <rPr>
        <b/>
        <vertAlign val="subscript"/>
        <sz val="10"/>
        <color theme="1"/>
        <rFont val="Verdana"/>
        <family val="2"/>
      </rPr>
      <t xml:space="preserve">leach,TIME3 </t>
    </r>
    <r>
      <rPr>
        <sz val="10"/>
        <color theme="1"/>
        <rFont val="Verdana"/>
        <family val="2"/>
      </rPr>
      <t>= (AREA</t>
    </r>
    <r>
      <rPr>
        <vertAlign val="subscript"/>
        <sz val="10"/>
        <color theme="1"/>
        <rFont val="Verdana"/>
        <family val="2"/>
      </rPr>
      <t>planks</t>
    </r>
    <r>
      <rPr>
        <sz val="10"/>
        <color theme="1"/>
        <rFont val="Verdana"/>
        <family val="2"/>
      </rPr>
      <t xml:space="preserve"> + AREA</t>
    </r>
    <r>
      <rPr>
        <vertAlign val="subscript"/>
        <sz val="10"/>
        <color theme="1"/>
        <rFont val="Verdana"/>
        <family val="2"/>
      </rPr>
      <t>poles</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leach,TIME3</t>
    </r>
  </si>
  <si>
    <r>
      <rPr>
        <b/>
        <sz val="10"/>
        <color theme="1"/>
        <rFont val="Verdana"/>
        <family val="2"/>
      </rPr>
      <t>Clocal</t>
    </r>
    <r>
      <rPr>
        <b/>
        <vertAlign val="subscript"/>
        <sz val="10"/>
        <color theme="1"/>
        <rFont val="Verdana"/>
        <family val="2"/>
      </rPr>
      <t>water,leach,TIME3</t>
    </r>
    <r>
      <rPr>
        <sz val="10"/>
        <color theme="1"/>
        <rFont val="Verdana"/>
        <family val="2"/>
      </rPr>
      <t xml:space="preserve"> = Q</t>
    </r>
    <r>
      <rPr>
        <vertAlign val="subscript"/>
        <sz val="10"/>
        <color theme="1"/>
        <rFont val="Verdana"/>
        <family val="2"/>
      </rPr>
      <t>leach,TIME3</t>
    </r>
    <r>
      <rPr>
        <sz val="10"/>
        <color theme="1"/>
        <rFont val="Verdana"/>
        <family val="2"/>
      </rPr>
      <t xml:space="preserve"> / V</t>
    </r>
    <r>
      <rPr>
        <vertAlign val="subscript"/>
        <sz val="10"/>
        <color theme="1"/>
        <rFont val="Verdana"/>
        <family val="2"/>
      </rPr>
      <t>water</t>
    </r>
    <r>
      <rPr>
        <sz val="10"/>
        <color theme="1"/>
        <rFont val="Verdana"/>
        <family val="2"/>
      </rPr>
      <t xml:space="preserve"> </t>
    </r>
  </si>
  <si>
    <t xml:space="preserve">Average daily emission due to leaching over the intermediate assessment period </t>
  </si>
  <si>
    <r>
      <rPr>
        <b/>
        <sz val="10"/>
        <rFont val="Verdana"/>
        <family val="2"/>
      </rPr>
      <t>E</t>
    </r>
    <r>
      <rPr>
        <b/>
        <vertAlign val="subscript"/>
        <sz val="10"/>
        <rFont val="Verdana"/>
        <family val="2"/>
      </rPr>
      <t>water,leach,TIME3</t>
    </r>
    <r>
      <rPr>
        <sz val="10"/>
        <rFont val="Verdana"/>
        <family val="2"/>
      </rPr>
      <t xml:space="preserve"> = (AREA</t>
    </r>
    <r>
      <rPr>
        <vertAlign val="subscript"/>
        <sz val="10"/>
        <rFont val="Verdana"/>
        <family val="2"/>
      </rPr>
      <t xml:space="preserve">planks </t>
    </r>
    <r>
      <rPr>
        <sz val="10"/>
        <rFont val="Verdana"/>
        <family val="2"/>
      </rPr>
      <t>+ AREA</t>
    </r>
    <r>
      <rPr>
        <vertAlign val="subscript"/>
        <sz val="10"/>
        <rFont val="Verdana"/>
        <family val="2"/>
      </rPr>
      <t>poles</t>
    </r>
    <r>
      <rPr>
        <sz val="10"/>
        <rFont val="Verdana"/>
        <family val="2"/>
      </rPr>
      <t>) * Q</t>
    </r>
    <r>
      <rPr>
        <vertAlign val="superscript"/>
        <sz val="10"/>
        <rFont val="Verdana"/>
        <family val="2"/>
      </rPr>
      <t>*</t>
    </r>
    <r>
      <rPr>
        <vertAlign val="subscript"/>
        <sz val="10"/>
        <rFont val="Verdana"/>
        <family val="2"/>
      </rPr>
      <t>leach,TIME3</t>
    </r>
    <r>
      <rPr>
        <sz val="10"/>
        <rFont val="Verdana"/>
        <family val="2"/>
      </rPr>
      <t xml:space="preserve"> / TIME3</t>
    </r>
  </si>
  <si>
    <r>
      <t>1. Insert Q*</t>
    </r>
    <r>
      <rPr>
        <vertAlign val="subscript"/>
        <sz val="10"/>
        <rFont val="Verdana"/>
        <family val="2"/>
      </rPr>
      <t>leach,TIME1</t>
    </r>
    <r>
      <rPr>
        <sz val="10"/>
        <rFont val="Verdana"/>
        <family val="2"/>
      </rPr>
      <t>,</t>
    </r>
    <r>
      <rPr>
        <vertAlign val="subscript"/>
        <sz val="10"/>
        <rFont val="Verdana"/>
        <family val="2"/>
      </rPr>
      <t xml:space="preserve"> </t>
    </r>
    <r>
      <rPr>
        <sz val="10"/>
        <rFont val="Verdana"/>
        <family val="2"/>
      </rPr>
      <t>Q*</t>
    </r>
    <r>
      <rPr>
        <vertAlign val="subscript"/>
        <sz val="10"/>
        <rFont val="Verdana"/>
        <family val="2"/>
      </rPr>
      <t>leach,TIME2</t>
    </r>
    <r>
      <rPr>
        <sz val="10"/>
        <rFont val="Verdana"/>
        <family val="2"/>
      </rPr>
      <t xml:space="preserve"> and Q*</t>
    </r>
    <r>
      <rPr>
        <vertAlign val="subscript"/>
        <sz val="10"/>
        <rFont val="Verdana"/>
        <family val="2"/>
      </rPr>
      <t>leach,TIME3</t>
    </r>
    <r>
      <rPr>
        <sz val="10"/>
        <rFont val="Verdana"/>
        <family val="2"/>
      </rPr>
      <t xml:space="preserve"> values.</t>
    </r>
  </si>
  <si>
    <r>
      <t>Q</t>
    </r>
    <r>
      <rPr>
        <b/>
        <vertAlign val="subscript"/>
        <sz val="10"/>
        <color theme="1"/>
        <rFont val="Verdana"/>
        <family val="2"/>
      </rPr>
      <t>leach,TIME3</t>
    </r>
    <r>
      <rPr>
        <b/>
        <sz val="10"/>
        <color theme="1"/>
        <rFont val="Verdana"/>
        <family val="2"/>
      </rPr>
      <t xml:space="preserve"> </t>
    </r>
    <r>
      <rPr>
        <sz val="10"/>
        <color theme="1"/>
        <rFont val="Verdana"/>
        <family val="2"/>
      </rPr>
      <t>= AREA</t>
    </r>
    <r>
      <rPr>
        <vertAlign val="subscript"/>
        <sz val="10"/>
        <color theme="1"/>
        <rFont val="Verdana"/>
        <family val="2"/>
      </rPr>
      <t xml:space="preserve">poles </t>
    </r>
    <r>
      <rPr>
        <sz val="10"/>
        <color theme="1"/>
        <rFont val="Verdana"/>
        <family val="2"/>
      </rPr>
      <t>* Q</t>
    </r>
    <r>
      <rPr>
        <vertAlign val="superscript"/>
        <sz val="10"/>
        <color theme="1"/>
        <rFont val="Verdana"/>
        <family val="2"/>
      </rPr>
      <t>*</t>
    </r>
    <r>
      <rPr>
        <vertAlign val="subscript"/>
        <sz val="10"/>
        <color theme="1"/>
        <rFont val="Verdana"/>
        <family val="2"/>
      </rPr>
      <t>leach,TIME3</t>
    </r>
    <r>
      <rPr>
        <sz val="10"/>
        <color theme="1"/>
        <rFont val="Verdana"/>
        <family val="2"/>
      </rPr>
      <t>/TIME3 * TAU</t>
    </r>
    <r>
      <rPr>
        <vertAlign val="subscript"/>
        <sz val="10"/>
        <color theme="1"/>
        <rFont val="Verdana"/>
        <family val="2"/>
      </rPr>
      <t>wway</t>
    </r>
  </si>
  <si>
    <r>
      <rPr>
        <b/>
        <sz val="10"/>
        <rFont val="Verdana"/>
        <family val="2"/>
      </rPr>
      <t>E</t>
    </r>
    <r>
      <rPr>
        <b/>
        <vertAlign val="subscript"/>
        <sz val="10"/>
        <rFont val="Verdana"/>
        <family val="2"/>
      </rPr>
      <t>water,leach,TIME3</t>
    </r>
    <r>
      <rPr>
        <sz val="10"/>
        <rFont val="Verdana"/>
        <family val="2"/>
      </rPr>
      <t xml:space="preserve"> = AREA</t>
    </r>
    <r>
      <rPr>
        <vertAlign val="subscript"/>
        <sz val="10"/>
        <rFont val="Verdana"/>
        <family val="2"/>
      </rPr>
      <t>poles</t>
    </r>
    <r>
      <rPr>
        <sz val="10"/>
        <rFont val="Verdana"/>
        <family val="2"/>
      </rPr>
      <t xml:space="preserve"> * Q</t>
    </r>
    <r>
      <rPr>
        <vertAlign val="superscript"/>
        <sz val="10"/>
        <rFont val="Verdana"/>
        <family val="2"/>
      </rPr>
      <t>*</t>
    </r>
    <r>
      <rPr>
        <vertAlign val="subscript"/>
        <sz val="10"/>
        <rFont val="Verdana"/>
        <family val="2"/>
      </rPr>
      <t>leach,TIME3</t>
    </r>
    <r>
      <rPr>
        <sz val="10"/>
        <rFont val="Verdana"/>
        <family val="2"/>
      </rPr>
      <t xml:space="preserve"> / TIME3</t>
    </r>
  </si>
  <si>
    <t xml:space="preserve">Emission estimation for treated wood in service (ESD § 4.3, p.65) - Emission scenario for UC 3 - Wood not covered, not in contact with ground, exposed to weather or subject to frequent wetting (ESD § 4.3.3, p.68) </t>
  </si>
  <si>
    <t>Emission estimation for treated wood in service (ESD § 4.3, p.65) - Emission scenario for UC 4b - Wood in contact with fresh water (ESD § 4.3.5, p.80)</t>
  </si>
  <si>
    <t>Emission estimation for treated wood in service (ESD § 4.3, p.65) - Emission scenario for UC 5 - Wood permanently exposed to salt water (ESD § 4.3.6, p.84)</t>
  </si>
  <si>
    <t>EUSES 2.1 background document, Table III-60 (page III-76)</t>
  </si>
  <si>
    <t>Dipping/flow coating</t>
  </si>
  <si>
    <r>
      <t>l.kg</t>
    </r>
    <r>
      <rPr>
        <vertAlign val="superscript"/>
        <sz val="10"/>
        <rFont val="Verdana"/>
        <family val="2"/>
      </rPr>
      <t>-1</t>
    </r>
  </si>
  <si>
    <t>Only the worst cases per compartment need to be calculated. i.e. for the soil compartment only the House scenario  is required (see also ESD § 4.2.4, #194, p.62 and TAB ENV 83, v1.3)</t>
  </si>
  <si>
    <t>Only the worst cases per compartment need to be calculated. i.e. for the soil compartment only the House scenario  is required (see also ESD § 4.3.3, # 218, p.69 and TAB ENV 83, v1.3)</t>
  </si>
  <si>
    <t>Only the worst cases per compartment need to be calculated. i.e. for the soil compartment only the Transmission pole is required (see also ESD § 4.3.4, # 243, p.77 and TAB ENV 83, v1.3)</t>
  </si>
  <si>
    <t>Soil-water partioning coefficient</t>
  </si>
  <si>
    <r>
      <t>Clocal</t>
    </r>
    <r>
      <rPr>
        <vertAlign val="subscript"/>
        <sz val="10"/>
        <rFont val="Verdana"/>
        <family val="2"/>
      </rPr>
      <t>soil,total,TIME3_tier1</t>
    </r>
  </si>
  <si>
    <r>
      <rPr>
        <b/>
        <sz val="10"/>
        <rFont val="Verdana"/>
        <family val="2"/>
      </rPr>
      <t>Clocal</t>
    </r>
    <r>
      <rPr>
        <b/>
        <vertAlign val="subscript"/>
        <sz val="10"/>
        <rFont val="Verdana"/>
        <family val="2"/>
      </rPr>
      <t>soil,total,TIME3_tier1</t>
    </r>
    <r>
      <rPr>
        <sz val="10"/>
        <rFont val="Verdana"/>
        <family val="2"/>
      </rPr>
      <t xml:space="preserve"> = Clocal</t>
    </r>
    <r>
      <rPr>
        <vertAlign val="subscript"/>
        <sz val="10"/>
        <rFont val="Verdana"/>
        <family val="2"/>
      </rPr>
      <t>soil,tier1</t>
    </r>
    <r>
      <rPr>
        <sz val="10"/>
        <rFont val="Verdana"/>
        <family val="2"/>
      </rPr>
      <t xml:space="preserve"> + Clocal</t>
    </r>
    <r>
      <rPr>
        <vertAlign val="subscript"/>
        <sz val="10"/>
        <rFont val="Verdana"/>
        <family val="2"/>
      </rPr>
      <t>soil,leach,TIME3</t>
    </r>
  </si>
  <si>
    <t>Total concentration in local soil at the end of a longer assessment period: emission from application + leaching at the end of the intermediate assessment period - TIER 1</t>
  </si>
  <si>
    <t xml:space="preserve">TIER 1 </t>
  </si>
  <si>
    <r>
      <t>Clocal</t>
    </r>
    <r>
      <rPr>
        <vertAlign val="subscript"/>
        <sz val="10"/>
        <color theme="1"/>
        <rFont val="Verdana"/>
        <family val="2"/>
      </rPr>
      <t>soil,applic_tier1</t>
    </r>
  </si>
  <si>
    <r>
      <t>Clocal</t>
    </r>
    <r>
      <rPr>
        <vertAlign val="subscript"/>
        <sz val="10"/>
        <color theme="1"/>
        <rFont val="Verdana"/>
        <family val="2"/>
      </rPr>
      <t>soil,applic_tier2</t>
    </r>
  </si>
  <si>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soil,applic_tier1</t>
    </r>
    <r>
      <rPr>
        <sz val="10"/>
        <rFont val="Verdana"/>
        <family val="2"/>
      </rPr>
      <t>] * e</t>
    </r>
    <r>
      <rPr>
        <vertAlign val="superscript"/>
        <sz val="10"/>
        <rFont val="Verdana"/>
        <family val="2"/>
      </rPr>
      <t>-TIME1*k</t>
    </r>
  </si>
  <si>
    <r>
      <rPr>
        <b/>
        <sz val="10"/>
        <rFont val="Verdana"/>
        <family val="2"/>
      </rPr>
      <t>Clocal</t>
    </r>
    <r>
      <rPr>
        <b/>
        <vertAlign val="subscript"/>
        <sz val="10"/>
        <rFont val="Verdana"/>
        <family val="2"/>
      </rPr>
      <t>soil,TIME2</t>
    </r>
    <r>
      <rPr>
        <sz val="10"/>
        <rFont val="Verdana"/>
        <family val="2"/>
      </rPr>
      <t xml:space="preserve">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soil,applic_tier2</t>
    </r>
    <r>
      <rPr>
        <sz val="10"/>
        <rFont val="Verdana"/>
        <family val="2"/>
      </rPr>
      <t>] * e</t>
    </r>
    <r>
      <rPr>
        <vertAlign val="superscript"/>
        <sz val="10"/>
        <rFont val="Verdana"/>
        <family val="2"/>
      </rPr>
      <t>-TIME2*k</t>
    </r>
  </si>
  <si>
    <t xml:space="preserve">TIER 2 </t>
  </si>
  <si>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soil,applic_tier2</t>
    </r>
    <r>
      <rPr>
        <sz val="10"/>
        <rFont val="Verdana"/>
        <family val="2"/>
      </rPr>
      <t>] * e</t>
    </r>
    <r>
      <rPr>
        <vertAlign val="superscript"/>
        <sz val="10"/>
        <rFont val="Verdana"/>
        <family val="2"/>
      </rPr>
      <t>-TIME1*k</t>
    </r>
  </si>
  <si>
    <r>
      <rPr>
        <b/>
        <sz val="10"/>
        <rFont val="Verdana"/>
        <family val="2"/>
      </rPr>
      <t>Clocal</t>
    </r>
    <r>
      <rPr>
        <b/>
        <vertAlign val="subscript"/>
        <sz val="10"/>
        <rFont val="Verdana"/>
        <family val="2"/>
      </rPr>
      <t>soil,TIME3</t>
    </r>
    <r>
      <rPr>
        <sz val="10"/>
        <rFont val="Verdana"/>
        <family val="2"/>
      </rPr>
      <t xml:space="preserve">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soil,applic_tier2</t>
    </r>
    <r>
      <rPr>
        <sz val="10"/>
        <rFont val="Verdana"/>
        <family val="2"/>
      </rPr>
      <t>] * e</t>
    </r>
    <r>
      <rPr>
        <vertAlign val="superscript"/>
        <sz val="10"/>
        <rFont val="Verdana"/>
        <family val="2"/>
      </rPr>
      <t>-TIME3*k</t>
    </r>
  </si>
  <si>
    <r>
      <rPr>
        <b/>
        <sz val="10"/>
        <rFont val="Verdana"/>
        <family val="2"/>
      </rPr>
      <t>Clocal</t>
    </r>
    <r>
      <rPr>
        <b/>
        <vertAlign val="subscript"/>
        <sz val="10"/>
        <rFont val="Verdana"/>
        <family val="2"/>
      </rPr>
      <t>soil,TIME3</t>
    </r>
    <r>
      <rPr>
        <sz val="10"/>
        <rFont val="Verdana"/>
        <family val="2"/>
      </rPr>
      <t xml:space="preserve">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soil,brush_house</t>
    </r>
    <r>
      <rPr>
        <sz val="10"/>
        <rFont val="Verdana"/>
        <family val="2"/>
      </rPr>
      <t>] * e</t>
    </r>
    <r>
      <rPr>
        <vertAlign val="superscript"/>
        <sz val="10"/>
        <rFont val="Verdana"/>
        <family val="2"/>
      </rPr>
      <t>-TIME3*k</t>
    </r>
  </si>
  <si>
    <r>
      <rPr>
        <b/>
        <sz val="10"/>
        <rFont val="Verdana"/>
        <family val="2"/>
      </rPr>
      <t>Clocal</t>
    </r>
    <r>
      <rPr>
        <b/>
        <vertAlign val="subscript"/>
        <sz val="10"/>
        <rFont val="Verdana"/>
        <family val="2"/>
      </rPr>
      <t>soil,TIME2</t>
    </r>
    <r>
      <rPr>
        <sz val="10"/>
        <rFont val="Verdana"/>
        <family val="2"/>
      </rPr>
      <t xml:space="preserve">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soil,applic_tier1</t>
    </r>
    <r>
      <rPr>
        <sz val="10"/>
        <rFont val="Verdana"/>
        <family val="2"/>
      </rPr>
      <t>] * e</t>
    </r>
    <r>
      <rPr>
        <vertAlign val="superscript"/>
        <sz val="10"/>
        <rFont val="Verdana"/>
        <family val="2"/>
      </rPr>
      <t>-TIME2*k</t>
    </r>
  </si>
  <si>
    <r>
      <rPr>
        <b/>
        <sz val="10"/>
        <rFont val="Verdana"/>
        <family val="2"/>
      </rPr>
      <t>Clocal</t>
    </r>
    <r>
      <rPr>
        <b/>
        <vertAlign val="subscript"/>
        <sz val="10"/>
        <rFont val="Verdana"/>
        <family val="2"/>
      </rPr>
      <t>soil,TIME3</t>
    </r>
    <r>
      <rPr>
        <sz val="10"/>
        <rFont val="Verdana"/>
        <family val="2"/>
      </rPr>
      <t xml:space="preserve">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soil,applic_tier1</t>
    </r>
    <r>
      <rPr>
        <sz val="10"/>
        <rFont val="Verdana"/>
        <family val="2"/>
      </rPr>
      <t>] * e</t>
    </r>
    <r>
      <rPr>
        <vertAlign val="superscript"/>
        <sz val="10"/>
        <rFont val="Verdana"/>
        <family val="2"/>
      </rPr>
      <t>-TIME3*k</t>
    </r>
  </si>
  <si>
    <r>
      <t>Cumulative quantity of substance leached out of 1 m</t>
    </r>
    <r>
      <rPr>
        <vertAlign val="superscript"/>
        <sz val="10"/>
        <color theme="1"/>
        <rFont val="Verdana"/>
        <family val="2"/>
      </rPr>
      <t>2</t>
    </r>
    <r>
      <rPr>
        <sz val="10"/>
        <color theme="1"/>
        <rFont val="Verdana"/>
        <family val="2"/>
      </rPr>
      <t xml:space="preserve"> of treated wood over an intermediate assessment period</t>
    </r>
  </si>
  <si>
    <r>
      <t>Q</t>
    </r>
    <r>
      <rPr>
        <b/>
        <vertAlign val="subscript"/>
        <sz val="10"/>
        <color theme="1"/>
        <rFont val="Verdana"/>
        <family val="2"/>
      </rPr>
      <t>leach,TIME3</t>
    </r>
    <r>
      <rPr>
        <b/>
        <sz val="10"/>
        <color theme="1"/>
        <rFont val="Verdana"/>
        <family val="2"/>
      </rPr>
      <t xml:space="preserve"> </t>
    </r>
    <r>
      <rPr>
        <sz val="10"/>
        <color theme="1"/>
        <rFont val="Verdana"/>
        <family val="2"/>
      </rPr>
      <t>=[ (AREA</t>
    </r>
    <r>
      <rPr>
        <vertAlign val="subscript"/>
        <sz val="10"/>
        <color theme="1"/>
        <rFont val="Verdana"/>
        <family val="2"/>
      </rPr>
      <t>planks</t>
    </r>
    <r>
      <rPr>
        <sz val="10"/>
        <color theme="1"/>
        <rFont val="Verdana"/>
        <family val="2"/>
      </rPr>
      <t xml:space="preserve"> + AREA</t>
    </r>
    <r>
      <rPr>
        <vertAlign val="subscript"/>
        <sz val="10"/>
        <color theme="1"/>
        <rFont val="Verdana"/>
        <family val="2"/>
      </rPr>
      <t>poles</t>
    </r>
    <r>
      <rPr>
        <sz val="10"/>
        <color theme="1"/>
        <rFont val="Verdana"/>
        <family val="2"/>
      </rPr>
      <t>)</t>
    </r>
    <r>
      <rPr>
        <vertAlign val="subscript"/>
        <sz val="10"/>
        <color theme="1"/>
        <rFont val="Verdana"/>
        <family val="2"/>
      </rPr>
      <t xml:space="preserve"> </t>
    </r>
    <r>
      <rPr>
        <sz val="10"/>
        <color theme="1"/>
        <rFont val="Verdana"/>
        <family val="2"/>
      </rPr>
      <t>* Q</t>
    </r>
    <r>
      <rPr>
        <vertAlign val="superscript"/>
        <sz val="10"/>
        <color theme="1"/>
        <rFont val="Verdana"/>
        <family val="2"/>
      </rPr>
      <t>*</t>
    </r>
    <r>
      <rPr>
        <vertAlign val="subscript"/>
        <sz val="10"/>
        <color theme="1"/>
        <rFont val="Verdana"/>
        <family val="2"/>
      </rPr>
      <t xml:space="preserve">leach,TIME3 </t>
    </r>
    <r>
      <rPr>
        <sz val="10"/>
        <color theme="1"/>
        <rFont val="Verdana"/>
        <family val="2"/>
      </rPr>
      <t>/ TIME3 ] * TAU</t>
    </r>
    <r>
      <rPr>
        <vertAlign val="subscript"/>
        <sz val="10"/>
        <color theme="1"/>
        <rFont val="Verdana"/>
        <family val="2"/>
      </rPr>
      <t>seawater</t>
    </r>
  </si>
  <si>
    <t>Cumulative quantity of substance, leached over an intermediate assessment period</t>
  </si>
  <si>
    <t>Concentration in local water at the end of an intermediate assessment period</t>
  </si>
  <si>
    <r>
      <t>Clocal</t>
    </r>
    <r>
      <rPr>
        <vertAlign val="subscript"/>
        <sz val="10"/>
        <color theme="1"/>
        <rFont val="Verdana"/>
        <family val="2"/>
      </rPr>
      <t>seawater,leach,TIME3</t>
    </r>
  </si>
  <si>
    <r>
      <rPr>
        <b/>
        <sz val="10"/>
        <rFont val="Verdana"/>
        <family val="2"/>
      </rPr>
      <t>E</t>
    </r>
    <r>
      <rPr>
        <b/>
        <vertAlign val="subscript"/>
        <sz val="10"/>
        <rFont val="Verdana"/>
        <family val="2"/>
      </rPr>
      <t>water,leach,TIME3</t>
    </r>
    <r>
      <rPr>
        <sz val="10"/>
        <rFont val="Verdana"/>
        <family val="2"/>
      </rPr>
      <t xml:space="preserve"> = (AREA</t>
    </r>
    <r>
      <rPr>
        <vertAlign val="subscript"/>
        <sz val="10"/>
        <rFont val="Verdana"/>
        <family val="2"/>
      </rPr>
      <t>planks</t>
    </r>
    <r>
      <rPr>
        <sz val="10"/>
        <rFont val="Verdana"/>
        <family val="2"/>
      </rPr>
      <t xml:space="preserve"> + AREA</t>
    </r>
    <r>
      <rPr>
        <vertAlign val="subscript"/>
        <sz val="10"/>
        <rFont val="Verdana"/>
        <family val="2"/>
      </rPr>
      <t>poles</t>
    </r>
    <r>
      <rPr>
        <sz val="10"/>
        <rFont val="Verdana"/>
        <family val="2"/>
      </rPr>
      <t>) * Q</t>
    </r>
    <r>
      <rPr>
        <vertAlign val="superscript"/>
        <sz val="10"/>
        <rFont val="Verdana"/>
        <family val="2"/>
      </rPr>
      <t>*</t>
    </r>
    <r>
      <rPr>
        <vertAlign val="subscript"/>
        <sz val="10"/>
        <rFont val="Verdana"/>
        <family val="2"/>
      </rPr>
      <t>leach,TIME3</t>
    </r>
    <r>
      <rPr>
        <sz val="10"/>
        <rFont val="Verdana"/>
        <family val="2"/>
      </rPr>
      <t xml:space="preserve"> / TIME3</t>
    </r>
  </si>
  <si>
    <t xml:space="preserve">Average daily emission due to leaching over an intermediate assessment period </t>
  </si>
  <si>
    <r>
      <t>Q</t>
    </r>
    <r>
      <rPr>
        <b/>
        <vertAlign val="subscript"/>
        <sz val="10"/>
        <color theme="1"/>
        <rFont val="Verdana"/>
        <family val="2"/>
      </rPr>
      <t>leach,TIME3</t>
    </r>
    <r>
      <rPr>
        <b/>
        <sz val="10"/>
        <color theme="1"/>
        <rFont val="Verdana"/>
        <family val="2"/>
      </rPr>
      <t xml:space="preserve"> </t>
    </r>
    <r>
      <rPr>
        <sz val="10"/>
        <color theme="1"/>
        <rFont val="Verdana"/>
        <family val="2"/>
      </rPr>
      <t>= AREA</t>
    </r>
    <r>
      <rPr>
        <vertAlign val="subscript"/>
        <sz val="10"/>
        <color theme="1"/>
        <rFont val="Verdana"/>
        <family val="2"/>
      </rPr>
      <t xml:space="preserve">pole,below </t>
    </r>
    <r>
      <rPr>
        <sz val="10"/>
        <color theme="1"/>
        <rFont val="Verdana"/>
        <family val="2"/>
      </rPr>
      <t>* Q</t>
    </r>
    <r>
      <rPr>
        <vertAlign val="superscript"/>
        <sz val="10"/>
        <color theme="1"/>
        <rFont val="Verdana"/>
        <family val="2"/>
      </rPr>
      <t>*</t>
    </r>
    <r>
      <rPr>
        <vertAlign val="subscript"/>
        <sz val="10"/>
        <color theme="1"/>
        <rFont val="Verdana"/>
        <family val="2"/>
      </rPr>
      <t>leach,TIME3</t>
    </r>
  </si>
  <si>
    <t>Concentration in local soil at the end of an intermediate assessment period</t>
  </si>
  <si>
    <r>
      <rPr>
        <b/>
        <sz val="10"/>
        <rFont val="Verdana"/>
        <family val="2"/>
      </rPr>
      <t>Clocal</t>
    </r>
    <r>
      <rPr>
        <b/>
        <vertAlign val="subscript"/>
        <sz val="10"/>
        <rFont val="Verdana"/>
        <family val="2"/>
      </rPr>
      <t>soil,total,TIME3</t>
    </r>
    <r>
      <rPr>
        <sz val="10"/>
        <rFont val="Verdana"/>
        <family val="2"/>
      </rPr>
      <t xml:space="preserve"> = Clocal</t>
    </r>
    <r>
      <rPr>
        <vertAlign val="subscript"/>
        <sz val="10"/>
        <rFont val="Verdana"/>
        <family val="2"/>
      </rPr>
      <t>soil,inj</t>
    </r>
    <r>
      <rPr>
        <sz val="10"/>
        <rFont val="Verdana"/>
        <family val="2"/>
      </rPr>
      <t xml:space="preserve"> + Clocal</t>
    </r>
    <r>
      <rPr>
        <vertAlign val="subscript"/>
        <sz val="10"/>
        <rFont val="Verdana"/>
        <family val="2"/>
      </rPr>
      <t>soil,leach,TIME3</t>
    </r>
  </si>
  <si>
    <r>
      <t>Clocal</t>
    </r>
    <r>
      <rPr>
        <vertAlign val="subscript"/>
        <sz val="10"/>
        <rFont val="Verdana"/>
        <family val="2"/>
      </rPr>
      <t>soil,total,TIME3</t>
    </r>
  </si>
  <si>
    <t>Total concentration in local soil at the end of an intermediate assessment period: emission from application + leaching at the end of an intermediate assessment period</t>
  </si>
  <si>
    <t>Cumulative quantity of substance, leached over the initial assessment period on 1 hectare</t>
  </si>
  <si>
    <t>Cumulative quantity of substance, leached over an intermediate assessment period on 1 hectare</t>
  </si>
  <si>
    <t>Cumulative quantity of substance, leached over a longer assessment period on 1 hectare</t>
  </si>
  <si>
    <r>
      <t>Cumulative quantity of substance leached out of 1 m</t>
    </r>
    <r>
      <rPr>
        <vertAlign val="superscript"/>
        <sz val="10"/>
        <color theme="1"/>
        <rFont val="Verdana"/>
        <family val="2"/>
      </rPr>
      <t>2</t>
    </r>
    <r>
      <rPr>
        <sz val="10"/>
        <color theme="1"/>
        <rFont val="Verdana"/>
        <family val="2"/>
      </rPr>
      <t xml:space="preserve"> or 1 m</t>
    </r>
    <r>
      <rPr>
        <vertAlign val="superscript"/>
        <sz val="10"/>
        <color theme="1"/>
        <rFont val="Verdana"/>
        <family val="2"/>
      </rPr>
      <t>3</t>
    </r>
    <r>
      <rPr>
        <sz val="10"/>
        <color theme="1"/>
        <rFont val="Verdana"/>
        <family val="2"/>
      </rPr>
      <t xml:space="preserve"> of treated wood over an intermediate assessment period</t>
    </r>
  </si>
  <si>
    <t>Cumulative quantity of substance leached over an intermediate assessment period</t>
  </si>
  <si>
    <r>
      <t>Clocal</t>
    </r>
    <r>
      <rPr>
        <vertAlign val="subscript"/>
        <sz val="10"/>
        <color theme="1"/>
        <rFont val="Verdana"/>
        <family val="2"/>
      </rPr>
      <t>surfacewater,leach,TIME3</t>
    </r>
  </si>
  <si>
    <r>
      <t>2. Insert also Q</t>
    </r>
    <r>
      <rPr>
        <vertAlign val="superscript"/>
        <sz val="10"/>
        <rFont val="Verdana"/>
        <family val="2"/>
      </rPr>
      <t>*</t>
    </r>
    <r>
      <rPr>
        <vertAlign val="subscript"/>
        <sz val="10"/>
        <rFont val="Verdana"/>
        <family val="2"/>
      </rPr>
      <t xml:space="preserve">leach,TIME1, </t>
    </r>
    <r>
      <rPr>
        <sz val="10"/>
        <rFont val="Verdana"/>
        <family val="2"/>
      </rPr>
      <t>Q*</t>
    </r>
    <r>
      <rPr>
        <vertAlign val="subscript"/>
        <sz val="10"/>
        <rFont val="Verdana"/>
        <family val="2"/>
      </rPr>
      <t xml:space="preserve">leach,TIME2 </t>
    </r>
    <r>
      <rPr>
        <sz val="10"/>
        <rFont val="Verdana"/>
        <family val="2"/>
      </rPr>
      <t>and Q</t>
    </r>
    <r>
      <rPr>
        <vertAlign val="superscript"/>
        <sz val="10"/>
        <rFont val="Verdana"/>
        <family val="2"/>
      </rPr>
      <t>*</t>
    </r>
    <r>
      <rPr>
        <vertAlign val="subscript"/>
        <sz val="10"/>
        <rFont val="Verdana"/>
        <family val="2"/>
      </rPr>
      <t>leach,TIME3</t>
    </r>
    <r>
      <rPr>
        <sz val="10"/>
        <rFont val="Verdana"/>
        <family val="2"/>
      </rPr>
      <t xml:space="preserve"> values, in order to estimate the emissions during service life.</t>
    </r>
  </si>
  <si>
    <t>Soil-water partitioning coeffcient</t>
  </si>
  <si>
    <t>3. To consider the removal processes (in soil), provide the following additional information in the "Input" table: Ksoil-water and k.</t>
  </si>
  <si>
    <t>4. The "Intermediate calculations" and the "Output" tables concerning the storage of treated wood without taking into account the removal processes in the receiving environmental compartments, will be automatically filled in.</t>
  </si>
  <si>
    <r>
      <t>1. Insert Q*</t>
    </r>
    <r>
      <rPr>
        <vertAlign val="subscript"/>
        <sz val="10"/>
        <rFont val="Verdana"/>
        <family val="2"/>
      </rPr>
      <t>leach,TIME1</t>
    </r>
    <r>
      <rPr>
        <sz val="10"/>
        <rFont val="Verdana"/>
        <family val="2"/>
      </rPr>
      <t>, Q*</t>
    </r>
    <r>
      <rPr>
        <vertAlign val="subscript"/>
        <sz val="10"/>
        <rFont val="Verdana"/>
        <family val="2"/>
      </rPr>
      <t xml:space="preserve">leach,TIME2 </t>
    </r>
    <r>
      <rPr>
        <sz val="10"/>
        <rFont val="Verdana"/>
        <family val="2"/>
      </rPr>
      <t xml:space="preserve"> and Q*</t>
    </r>
    <r>
      <rPr>
        <vertAlign val="subscript"/>
        <sz val="10"/>
        <rFont val="Verdana"/>
        <family val="2"/>
      </rPr>
      <t>leach,TIME3</t>
    </r>
    <r>
      <rPr>
        <sz val="10"/>
        <rFont val="Verdana"/>
        <family val="2"/>
      </rPr>
      <t xml:space="preserve"> values.</t>
    </r>
  </si>
  <si>
    <r>
      <t>2. Insert also Q*</t>
    </r>
    <r>
      <rPr>
        <vertAlign val="subscript"/>
        <sz val="10"/>
        <rFont val="Verdana"/>
        <family val="2"/>
      </rPr>
      <t>leach,TIME1</t>
    </r>
    <r>
      <rPr>
        <sz val="10"/>
        <rFont val="Verdana"/>
        <family val="2"/>
      </rPr>
      <t>, Q*</t>
    </r>
    <r>
      <rPr>
        <vertAlign val="subscript"/>
        <sz val="10"/>
        <rFont val="Verdana"/>
        <family val="2"/>
      </rPr>
      <t>leach,TIME2</t>
    </r>
    <r>
      <rPr>
        <sz val="10"/>
        <rFont val="Verdana"/>
        <family val="2"/>
      </rPr>
      <t xml:space="preserve"> and Q*</t>
    </r>
    <r>
      <rPr>
        <vertAlign val="subscript"/>
        <sz val="10"/>
        <rFont val="Verdana"/>
        <family val="2"/>
      </rPr>
      <t>leach,TIME3</t>
    </r>
    <r>
      <rPr>
        <sz val="10"/>
        <rFont val="Verdana"/>
        <family val="2"/>
      </rPr>
      <t xml:space="preserve"> values, in order to estimate the emissions during service life.</t>
    </r>
  </si>
  <si>
    <r>
      <t>1. In the "Input" table, insert  Q</t>
    </r>
    <r>
      <rPr>
        <vertAlign val="superscript"/>
        <sz val="10"/>
        <rFont val="Verdana"/>
        <family val="2"/>
      </rPr>
      <t>*</t>
    </r>
    <r>
      <rPr>
        <vertAlign val="subscript"/>
        <sz val="10"/>
        <rFont val="Verdana"/>
        <family val="2"/>
      </rPr>
      <t>leach,TIME1</t>
    </r>
    <r>
      <rPr>
        <sz val="10"/>
        <rFont val="Verdana"/>
        <family val="2"/>
      </rPr>
      <t>, Q*</t>
    </r>
    <r>
      <rPr>
        <vertAlign val="subscript"/>
        <sz val="10"/>
        <rFont val="Verdana"/>
        <family val="2"/>
      </rPr>
      <t>leach,TIME2</t>
    </r>
    <r>
      <rPr>
        <sz val="10"/>
        <rFont val="Verdana"/>
        <family val="2"/>
      </rPr>
      <t xml:space="preserve"> and Q</t>
    </r>
    <r>
      <rPr>
        <vertAlign val="superscript"/>
        <sz val="10"/>
        <rFont val="Verdana"/>
        <family val="2"/>
      </rPr>
      <t>*</t>
    </r>
    <r>
      <rPr>
        <vertAlign val="subscript"/>
        <sz val="10"/>
        <rFont val="Verdana"/>
        <family val="2"/>
      </rPr>
      <t>leach,TIME3</t>
    </r>
    <r>
      <rPr>
        <sz val="10"/>
        <rFont val="Verdana"/>
        <family val="2"/>
      </rPr>
      <t xml:space="preserve"> values.</t>
    </r>
  </si>
  <si>
    <r>
      <t>1. In the "Input" table, insert Q</t>
    </r>
    <r>
      <rPr>
        <vertAlign val="superscript"/>
        <sz val="10"/>
        <rFont val="Verdana"/>
        <family val="2"/>
      </rPr>
      <t>*</t>
    </r>
    <r>
      <rPr>
        <vertAlign val="subscript"/>
        <sz val="10"/>
        <rFont val="Verdana"/>
        <family val="2"/>
      </rPr>
      <t>leach,TIME1</t>
    </r>
    <r>
      <rPr>
        <sz val="10"/>
        <rFont val="Verdana"/>
        <family val="2"/>
      </rPr>
      <t>, Q*</t>
    </r>
    <r>
      <rPr>
        <vertAlign val="subscript"/>
        <sz val="10"/>
        <rFont val="Verdana"/>
        <family val="2"/>
      </rPr>
      <t>leach,TIME2</t>
    </r>
    <r>
      <rPr>
        <sz val="10"/>
        <rFont val="Verdana"/>
        <family val="2"/>
      </rPr>
      <t xml:space="preserve"> and Q</t>
    </r>
    <r>
      <rPr>
        <vertAlign val="superscript"/>
        <sz val="10"/>
        <rFont val="Verdana"/>
        <family val="2"/>
      </rPr>
      <t>*</t>
    </r>
    <r>
      <rPr>
        <vertAlign val="subscript"/>
        <sz val="10"/>
        <rFont val="Verdana"/>
        <family val="2"/>
      </rPr>
      <t>leach,TIME3</t>
    </r>
    <r>
      <rPr>
        <sz val="10"/>
        <rFont val="Verdana"/>
        <family val="2"/>
      </rPr>
      <t xml:space="preserve"> values.</t>
    </r>
  </si>
  <si>
    <r>
      <t>2. Insert Q*</t>
    </r>
    <r>
      <rPr>
        <vertAlign val="subscript"/>
        <sz val="10"/>
        <rFont val="Verdana"/>
        <family val="2"/>
      </rPr>
      <t>leach,TIME1</t>
    </r>
    <r>
      <rPr>
        <sz val="10"/>
        <rFont val="Verdana"/>
        <family val="2"/>
      </rPr>
      <t>, Q*</t>
    </r>
    <r>
      <rPr>
        <vertAlign val="subscript"/>
        <sz val="10"/>
        <rFont val="Verdana"/>
        <family val="2"/>
      </rPr>
      <t xml:space="preserve">leach,TIME2 </t>
    </r>
    <r>
      <rPr>
        <sz val="10"/>
        <rFont val="Verdana"/>
        <family val="2"/>
      </rPr>
      <t>and Q*</t>
    </r>
    <r>
      <rPr>
        <vertAlign val="subscript"/>
        <sz val="10"/>
        <rFont val="Verdana"/>
        <family val="2"/>
      </rPr>
      <t>leach,TIME3</t>
    </r>
    <r>
      <rPr>
        <sz val="10"/>
        <rFont val="Verdana"/>
        <family val="2"/>
      </rPr>
      <t xml:space="preserve"> values.</t>
    </r>
  </si>
  <si>
    <r>
      <t>3. To consider the removal processes, provide the following additional information in the "Input" table: k and K</t>
    </r>
    <r>
      <rPr>
        <vertAlign val="subscript"/>
        <sz val="10"/>
        <rFont val="Verdana"/>
        <family val="2"/>
      </rPr>
      <t>soil-water.</t>
    </r>
  </si>
  <si>
    <r>
      <t>3. To consider the removal processes, provide the following additional information in the "Input" table: k and K</t>
    </r>
    <r>
      <rPr>
        <vertAlign val="subscript"/>
        <sz val="10"/>
        <rFont val="Verdana"/>
        <family val="2"/>
      </rPr>
      <t>soil-water</t>
    </r>
    <r>
      <rPr>
        <sz val="10"/>
        <rFont val="Verdana"/>
        <family val="2"/>
      </rPr>
      <t>.</t>
    </r>
  </si>
  <si>
    <t>PEARL input application rates</t>
  </si>
  <si>
    <r>
      <rPr>
        <b/>
        <sz val="10"/>
        <color theme="1"/>
        <rFont val="Verdana"/>
        <family val="2"/>
      </rPr>
      <t>Clocal</t>
    </r>
    <r>
      <rPr>
        <b/>
        <vertAlign val="subscript"/>
        <sz val="10"/>
        <color theme="1"/>
        <rFont val="Verdana"/>
        <family val="2"/>
      </rPr>
      <t>soil,leach,TIME1</t>
    </r>
    <r>
      <rPr>
        <sz val="10"/>
        <color theme="1"/>
        <rFont val="Verdana"/>
        <family val="2"/>
      </rPr>
      <t xml:space="preserve"> = Q</t>
    </r>
    <r>
      <rPr>
        <vertAlign val="subscript"/>
        <sz val="10"/>
        <color theme="1"/>
        <rFont val="Verdana"/>
        <family val="2"/>
      </rPr>
      <t xml:space="preserve">leach,TIME1 </t>
    </r>
    <r>
      <rPr>
        <sz val="10"/>
        <color theme="1"/>
        <rFont val="Verdana"/>
        <family val="2"/>
      </rPr>
      <t>/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</si>
  <si>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rPr>
        <b/>
        <sz val="10"/>
        <color theme="1"/>
        <rFont val="Verdana"/>
        <family val="2"/>
      </rPr>
      <t>Clocal</t>
    </r>
    <r>
      <rPr>
        <b/>
        <vertAlign val="subscript"/>
        <sz val="10"/>
        <color theme="1"/>
        <rFont val="Verdana"/>
        <family val="2"/>
      </rPr>
      <t>soil,leach,TIME2</t>
    </r>
    <r>
      <rPr>
        <sz val="10"/>
        <color theme="1"/>
        <rFont val="Verdana"/>
        <family val="2"/>
      </rPr>
      <t xml:space="preserve"> = Q</t>
    </r>
    <r>
      <rPr>
        <vertAlign val="subscript"/>
        <sz val="10"/>
        <color theme="1"/>
        <rFont val="Verdana"/>
        <family val="2"/>
      </rPr>
      <t xml:space="preserve">leach,TIME2 </t>
    </r>
    <r>
      <rPr>
        <sz val="10"/>
        <color theme="1"/>
        <rFont val="Verdana"/>
        <family val="2"/>
      </rPr>
      <t>/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</si>
  <si>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rPr>
        <b/>
        <sz val="10"/>
        <color theme="1"/>
        <rFont val="Verdana"/>
        <family val="2"/>
      </rPr>
      <t>Clocal</t>
    </r>
    <r>
      <rPr>
        <b/>
        <vertAlign val="subscript"/>
        <sz val="10"/>
        <color theme="1"/>
        <rFont val="Verdana"/>
        <family val="2"/>
      </rPr>
      <t>soil,leach,TIME3</t>
    </r>
    <r>
      <rPr>
        <sz val="10"/>
        <color theme="1"/>
        <rFont val="Verdana"/>
        <family val="2"/>
      </rPr>
      <t xml:space="preserve"> = Q</t>
    </r>
    <r>
      <rPr>
        <vertAlign val="subscript"/>
        <sz val="10"/>
        <color theme="1"/>
        <rFont val="Verdana"/>
        <family val="2"/>
      </rPr>
      <t>leach,TIME3</t>
    </r>
    <r>
      <rPr>
        <sz val="10"/>
        <color theme="1"/>
        <rFont val="Verdana"/>
        <family val="2"/>
      </rPr>
      <t xml:space="preserve"> </t>
    </r>
    <r>
      <rPr>
        <sz val="10"/>
        <color theme="1"/>
        <rFont val="Verdana"/>
        <family val="2"/>
      </rPr>
      <t>/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</si>
  <si>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t>mg</t>
  </si>
  <si>
    <r>
      <t>Q</t>
    </r>
    <r>
      <rPr>
        <b/>
        <vertAlign val="subscript"/>
        <sz val="10"/>
        <color theme="1"/>
        <rFont val="Verdana"/>
        <family val="2"/>
      </rPr>
      <t>leach,TIME1</t>
    </r>
    <r>
      <rPr>
        <b/>
        <sz val="10"/>
        <color theme="1"/>
        <rFont val="Verdana"/>
        <family val="2"/>
      </rPr>
      <t xml:space="preserve"> </t>
    </r>
    <r>
      <rPr>
        <sz val="10"/>
        <color theme="1"/>
        <rFont val="Verdana"/>
        <family val="2"/>
      </rPr>
      <t>= AREA</t>
    </r>
    <r>
      <rPr>
        <vertAlign val="subscript"/>
        <sz val="10"/>
        <color theme="1"/>
        <rFont val="Verdana"/>
        <family val="2"/>
      </rPr>
      <t>fence</t>
    </r>
    <r>
      <rPr>
        <sz val="10"/>
        <color theme="1"/>
        <rFont val="Verdana"/>
        <family val="2"/>
      </rPr>
      <t xml:space="preserve"> * Q</t>
    </r>
    <r>
      <rPr>
        <vertAlign val="superscript"/>
        <sz val="10"/>
        <color theme="1"/>
        <rFont val="Verdana"/>
        <family val="2"/>
      </rPr>
      <t>*</t>
    </r>
    <r>
      <rPr>
        <vertAlign val="subscript"/>
        <sz val="10"/>
        <color theme="1"/>
        <rFont val="Verdana"/>
        <family val="2"/>
      </rPr>
      <t xml:space="preserve">leach,TIME1 </t>
    </r>
    <r>
      <rPr>
        <sz val="10"/>
        <color theme="1"/>
        <rFont val="Verdana"/>
        <family val="2"/>
      </rPr>
      <t/>
    </r>
  </si>
  <si>
    <r>
      <t>Q</t>
    </r>
    <r>
      <rPr>
        <b/>
        <vertAlign val="subscript"/>
        <sz val="10"/>
        <color theme="1"/>
        <rFont val="Verdana"/>
        <family val="2"/>
      </rPr>
      <t>leach,TIME2</t>
    </r>
    <r>
      <rPr>
        <b/>
        <sz val="10"/>
        <color theme="1"/>
        <rFont val="Verdana"/>
        <family val="2"/>
      </rPr>
      <t xml:space="preserve"> </t>
    </r>
    <r>
      <rPr>
        <sz val="10"/>
        <color theme="1"/>
        <rFont val="Verdana"/>
        <family val="2"/>
      </rPr>
      <t>= AREA</t>
    </r>
    <r>
      <rPr>
        <vertAlign val="subscript"/>
        <sz val="10"/>
        <color theme="1"/>
        <rFont val="Verdana"/>
        <family val="2"/>
      </rPr>
      <t>fence</t>
    </r>
    <r>
      <rPr>
        <sz val="10"/>
        <color theme="1"/>
        <rFont val="Verdana"/>
        <family val="2"/>
      </rPr>
      <t xml:space="preserve"> * Q</t>
    </r>
    <r>
      <rPr>
        <vertAlign val="superscript"/>
        <sz val="10"/>
        <color theme="1"/>
        <rFont val="Verdana"/>
        <family val="2"/>
      </rPr>
      <t>*</t>
    </r>
    <r>
      <rPr>
        <vertAlign val="subscript"/>
        <sz val="10"/>
        <color theme="1"/>
        <rFont val="Verdana"/>
        <family val="2"/>
      </rPr>
      <t xml:space="preserve">leach,TIME2 </t>
    </r>
    <r>
      <rPr>
        <sz val="10"/>
        <color theme="1"/>
        <rFont val="Verdana"/>
        <family val="2"/>
      </rPr>
      <t/>
    </r>
  </si>
  <si>
    <r>
      <t xml:space="preserve"> Q</t>
    </r>
    <r>
      <rPr>
        <b/>
        <vertAlign val="subscript"/>
        <sz val="10"/>
        <color theme="1"/>
        <rFont val="Verdana"/>
        <family val="2"/>
      </rPr>
      <t>leach,TIME3</t>
    </r>
    <r>
      <rPr>
        <b/>
        <sz val="10"/>
        <color theme="1"/>
        <rFont val="Verdana"/>
        <family val="2"/>
      </rPr>
      <t xml:space="preserve"> </t>
    </r>
    <r>
      <rPr>
        <sz val="10"/>
        <color theme="1"/>
        <rFont val="Verdana"/>
        <family val="2"/>
      </rPr>
      <t>= AREA</t>
    </r>
    <r>
      <rPr>
        <vertAlign val="subscript"/>
        <sz val="10"/>
        <color theme="1"/>
        <rFont val="Verdana"/>
        <family val="2"/>
      </rPr>
      <t>fence</t>
    </r>
    <r>
      <rPr>
        <sz val="10"/>
        <color theme="1"/>
        <rFont val="Verdana"/>
        <family val="2"/>
      </rPr>
      <t xml:space="preserve"> * Q</t>
    </r>
    <r>
      <rPr>
        <vertAlign val="superscript"/>
        <sz val="10"/>
        <color theme="1"/>
        <rFont val="Verdana"/>
        <family val="2"/>
      </rPr>
      <t>*</t>
    </r>
    <r>
      <rPr>
        <vertAlign val="subscript"/>
        <sz val="10"/>
        <color theme="1"/>
        <rFont val="Verdana"/>
        <family val="2"/>
      </rPr>
      <t>leach,TIME3</t>
    </r>
  </si>
  <si>
    <r>
      <rPr>
        <b/>
        <sz val="10"/>
        <rFont val="Verdana"/>
        <family val="2"/>
      </rPr>
      <t>E</t>
    </r>
    <r>
      <rPr>
        <b/>
        <vertAlign val="subscript"/>
        <sz val="10"/>
        <rFont val="Verdana"/>
        <family val="2"/>
      </rPr>
      <t>soil,leach,TIME1</t>
    </r>
    <r>
      <rPr>
        <sz val="10"/>
        <rFont val="Verdana"/>
        <family val="2"/>
      </rPr>
      <t xml:space="preserve"> = AREA</t>
    </r>
    <r>
      <rPr>
        <vertAlign val="subscript"/>
        <sz val="10"/>
        <rFont val="Verdana"/>
        <family val="2"/>
      </rPr>
      <t>fence</t>
    </r>
    <r>
      <rPr>
        <sz val="10"/>
        <rFont val="Verdana"/>
        <family val="2"/>
      </rPr>
      <t xml:space="preserve"> * Q</t>
    </r>
    <r>
      <rPr>
        <vertAlign val="superscript"/>
        <sz val="10"/>
        <rFont val="Verdana"/>
        <family val="2"/>
      </rPr>
      <t>*</t>
    </r>
    <r>
      <rPr>
        <vertAlign val="subscript"/>
        <sz val="10"/>
        <rFont val="Verdana"/>
        <family val="2"/>
      </rPr>
      <t>leach,TIME1</t>
    </r>
    <r>
      <rPr>
        <sz val="10"/>
        <rFont val="Verdana"/>
        <family val="2"/>
      </rPr>
      <t xml:space="preserve"> </t>
    </r>
    <r>
      <rPr>
        <sz val="10"/>
        <rFont val="Verdana"/>
        <family val="2"/>
      </rPr>
      <t>/ TIME1</t>
    </r>
  </si>
  <si>
    <r>
      <rPr>
        <b/>
        <sz val="10"/>
        <rFont val="Verdana"/>
        <family val="2"/>
      </rPr>
      <t>E</t>
    </r>
    <r>
      <rPr>
        <b/>
        <vertAlign val="subscript"/>
        <sz val="10"/>
        <rFont val="Verdana"/>
        <family val="2"/>
      </rPr>
      <t>soil,leach,TIME2</t>
    </r>
    <r>
      <rPr>
        <sz val="10"/>
        <rFont val="Verdana"/>
        <family val="2"/>
      </rPr>
      <t xml:space="preserve"> = AREA</t>
    </r>
    <r>
      <rPr>
        <vertAlign val="subscript"/>
        <sz val="10"/>
        <rFont val="Verdana"/>
        <family val="2"/>
      </rPr>
      <t>fence</t>
    </r>
    <r>
      <rPr>
        <sz val="10"/>
        <rFont val="Verdana"/>
        <family val="2"/>
      </rPr>
      <t xml:space="preserve"> * Q</t>
    </r>
    <r>
      <rPr>
        <vertAlign val="superscript"/>
        <sz val="10"/>
        <rFont val="Verdana"/>
        <family val="2"/>
      </rPr>
      <t>*</t>
    </r>
    <r>
      <rPr>
        <vertAlign val="subscript"/>
        <sz val="10"/>
        <rFont val="Verdana"/>
        <family val="2"/>
      </rPr>
      <t>leach,TIME2</t>
    </r>
    <r>
      <rPr>
        <sz val="10"/>
        <rFont val="Verdana"/>
        <family val="2"/>
      </rPr>
      <t xml:space="preserve"> </t>
    </r>
    <r>
      <rPr>
        <sz val="10"/>
        <rFont val="Verdana"/>
        <family val="2"/>
      </rPr>
      <t xml:space="preserve"> / TIME2</t>
    </r>
  </si>
  <si>
    <r>
      <rPr>
        <b/>
        <sz val="10"/>
        <rFont val="Verdana"/>
        <family val="2"/>
      </rPr>
      <t>E</t>
    </r>
    <r>
      <rPr>
        <b/>
        <vertAlign val="subscript"/>
        <sz val="10"/>
        <rFont val="Verdana"/>
        <family val="2"/>
      </rPr>
      <t>soil,leach,TIME3</t>
    </r>
    <r>
      <rPr>
        <sz val="10"/>
        <rFont val="Verdana"/>
        <family val="2"/>
      </rPr>
      <t xml:space="preserve"> = AREA</t>
    </r>
    <r>
      <rPr>
        <vertAlign val="subscript"/>
        <sz val="10"/>
        <rFont val="Verdana"/>
        <family val="2"/>
      </rPr>
      <t>fence</t>
    </r>
    <r>
      <rPr>
        <sz val="10"/>
        <rFont val="Verdana"/>
        <family val="2"/>
      </rPr>
      <t xml:space="preserve"> * Q</t>
    </r>
    <r>
      <rPr>
        <vertAlign val="superscript"/>
        <sz val="10"/>
        <rFont val="Verdana"/>
        <family val="2"/>
      </rPr>
      <t>*</t>
    </r>
    <r>
      <rPr>
        <vertAlign val="subscript"/>
        <sz val="10"/>
        <rFont val="Verdana"/>
        <family val="2"/>
      </rPr>
      <t>leach,TIME3</t>
    </r>
    <r>
      <rPr>
        <sz val="10"/>
        <rFont val="Verdana"/>
        <family val="2"/>
      </rPr>
      <t xml:space="preserve"> </t>
    </r>
    <r>
      <rPr>
        <sz val="10"/>
        <rFont val="Verdana"/>
        <family val="2"/>
      </rPr>
      <t xml:space="preserve"> / TIME3</t>
    </r>
  </si>
  <si>
    <r>
      <rPr>
        <b/>
        <sz val="10"/>
        <rFont val="Verdana"/>
        <family val="2"/>
      </rPr>
      <t>Clocal</t>
    </r>
    <r>
      <rPr>
        <b/>
        <vertAlign val="subscript"/>
        <sz val="10"/>
        <rFont val="Verdana"/>
        <family val="2"/>
      </rPr>
      <t>pore,TIME1</t>
    </r>
    <r>
      <rPr>
        <b/>
        <sz val="10"/>
        <rFont val="Verdana"/>
        <family val="2"/>
      </rPr>
      <t xml:space="preserve"> =</t>
    </r>
    <r>
      <rPr>
        <sz val="10"/>
        <rFont val="Verdana"/>
        <family val="2"/>
      </rPr>
      <t xml:space="preserve"> Clocal</t>
    </r>
    <r>
      <rPr>
        <vertAlign val="subscript"/>
        <sz val="10"/>
        <rFont val="Verdana"/>
        <family val="2"/>
      </rPr>
      <t>soil,TIME1</t>
    </r>
    <r>
      <rPr>
        <sz val="10"/>
        <rFont val="Verdana"/>
        <family val="2"/>
      </rPr>
      <t>*RHO</t>
    </r>
    <r>
      <rPr>
        <vertAlign val="subscript"/>
        <sz val="10"/>
        <rFont val="Verdana"/>
        <family val="2"/>
      </rPr>
      <t>soil</t>
    </r>
    <r>
      <rPr>
        <sz val="10"/>
        <rFont val="Verdana"/>
        <family val="2"/>
      </rPr>
      <t>*0.001/K</t>
    </r>
    <r>
      <rPr>
        <vertAlign val="subscript"/>
        <sz val="10"/>
        <rFont val="Verdana"/>
        <family val="2"/>
      </rPr>
      <t>soil-water</t>
    </r>
  </si>
  <si>
    <r>
      <rPr>
        <b/>
        <sz val="10"/>
        <rFont val="Verdana"/>
        <family val="2"/>
      </rPr>
      <t>Clocal</t>
    </r>
    <r>
      <rPr>
        <b/>
        <vertAlign val="subscript"/>
        <sz val="10"/>
        <rFont val="Verdana"/>
        <family val="2"/>
      </rPr>
      <t>pore,TIME2</t>
    </r>
    <r>
      <rPr>
        <b/>
        <sz val="10"/>
        <rFont val="Verdana"/>
        <family val="2"/>
      </rPr>
      <t xml:space="preserve"> =</t>
    </r>
    <r>
      <rPr>
        <sz val="10"/>
        <rFont val="Verdana"/>
        <family val="2"/>
      </rPr>
      <t xml:space="preserve"> Clocal</t>
    </r>
    <r>
      <rPr>
        <vertAlign val="subscript"/>
        <sz val="10"/>
        <rFont val="Verdana"/>
        <family val="2"/>
      </rPr>
      <t>soil,TIME2</t>
    </r>
    <r>
      <rPr>
        <sz val="10"/>
        <rFont val="Verdana"/>
        <family val="2"/>
      </rPr>
      <t>*RHO</t>
    </r>
    <r>
      <rPr>
        <vertAlign val="subscript"/>
        <sz val="10"/>
        <rFont val="Verdana"/>
        <family val="2"/>
      </rPr>
      <t>soil</t>
    </r>
    <r>
      <rPr>
        <sz val="10"/>
        <rFont val="Verdana"/>
        <family val="2"/>
      </rPr>
      <t>*0.001/K</t>
    </r>
    <r>
      <rPr>
        <vertAlign val="subscript"/>
        <sz val="10"/>
        <rFont val="Verdana"/>
        <family val="2"/>
      </rPr>
      <t>soil-water</t>
    </r>
  </si>
  <si>
    <r>
      <rPr>
        <b/>
        <sz val="10"/>
        <rFont val="Verdana"/>
        <family val="2"/>
      </rPr>
      <t>Clocal</t>
    </r>
    <r>
      <rPr>
        <b/>
        <vertAlign val="subscript"/>
        <sz val="10"/>
        <rFont val="Verdana"/>
        <family val="2"/>
      </rPr>
      <t>pore,TIME3</t>
    </r>
    <r>
      <rPr>
        <b/>
        <sz val="10"/>
        <rFont val="Verdana"/>
        <family val="2"/>
      </rPr>
      <t xml:space="preserve"> =</t>
    </r>
    <r>
      <rPr>
        <sz val="10"/>
        <rFont val="Verdana"/>
        <family val="2"/>
      </rPr>
      <t xml:space="preserve"> Clocal</t>
    </r>
    <r>
      <rPr>
        <vertAlign val="subscript"/>
        <sz val="10"/>
        <rFont val="Verdana"/>
        <family val="2"/>
      </rPr>
      <t>soil,TIME3</t>
    </r>
    <r>
      <rPr>
        <sz val="10"/>
        <rFont val="Verdana"/>
        <family val="2"/>
      </rPr>
      <t>*RHO</t>
    </r>
    <r>
      <rPr>
        <vertAlign val="subscript"/>
        <sz val="10"/>
        <rFont val="Verdana"/>
        <family val="2"/>
      </rPr>
      <t>soil</t>
    </r>
    <r>
      <rPr>
        <sz val="10"/>
        <rFont val="Verdana"/>
        <family val="2"/>
      </rPr>
      <t>*0.001/K</t>
    </r>
    <r>
      <rPr>
        <vertAlign val="subscript"/>
        <sz val="10"/>
        <rFont val="Verdana"/>
        <family val="2"/>
      </rPr>
      <t>soil-water</t>
    </r>
  </si>
  <si>
    <t>Volume of sediment compartment</t>
  </si>
  <si>
    <t>Application rate for 1 out of 10 applications per year, over an intermediate assessment period on 1 hectare</t>
  </si>
  <si>
    <t>Application rate for 1 out of 10 applications per year, over a longer assessment period on 1 hectare</t>
  </si>
  <si>
    <r>
      <t>mg.kg</t>
    </r>
    <r>
      <rPr>
        <vertAlign val="subscript"/>
        <sz val="10"/>
        <rFont val="Verdana"/>
        <family val="2"/>
      </rPr>
      <t>wwt</t>
    </r>
    <r>
      <rPr>
        <vertAlign val="superscript"/>
        <sz val="10"/>
        <rFont val="Verdana"/>
        <family val="2"/>
      </rPr>
      <t>-1</t>
    </r>
  </si>
  <si>
    <r>
      <rPr>
        <b/>
        <sz val="10"/>
        <rFont val="Verdana"/>
        <family val="2"/>
      </rPr>
      <t>Clocal</t>
    </r>
    <r>
      <rPr>
        <b/>
        <vertAlign val="subscript"/>
        <sz val="10"/>
        <rFont val="Verdana"/>
        <family val="2"/>
      </rPr>
      <t>soil,brush_house</t>
    </r>
    <r>
      <rPr>
        <sz val="10"/>
        <rFont val="Verdana"/>
        <family val="2"/>
      </rPr>
      <t xml:space="preserve"> = E</t>
    </r>
    <r>
      <rPr>
        <vertAlign val="subscript"/>
        <sz val="10"/>
        <rFont val="Verdana"/>
        <family val="2"/>
      </rPr>
      <t>soil,brush_house</t>
    </r>
    <r>
      <rPr>
        <sz val="10"/>
        <rFont val="Verdana"/>
        <family val="2"/>
      </rPr>
      <t xml:space="preserve"> * 10</t>
    </r>
    <r>
      <rPr>
        <vertAlign val="superscript"/>
        <sz val="10"/>
        <rFont val="Verdana"/>
        <family val="2"/>
      </rPr>
      <t>6</t>
    </r>
    <r>
      <rPr>
        <sz val="10"/>
        <rFont val="Verdana"/>
        <family val="2"/>
      </rPr>
      <t xml:space="preserve"> / (V</t>
    </r>
    <r>
      <rPr>
        <vertAlign val="subscript"/>
        <sz val="10"/>
        <rFont val="Verdana"/>
        <family val="2"/>
      </rPr>
      <t>soil</t>
    </r>
    <r>
      <rPr>
        <sz val="10"/>
        <rFont val="Verdana"/>
        <family val="2"/>
      </rPr>
      <t xml:space="preserve"> * RHO</t>
    </r>
    <r>
      <rPr>
        <vertAlign val="subscript"/>
        <sz val="10"/>
        <rFont val="Verdana"/>
        <family val="2"/>
      </rPr>
      <t>soil</t>
    </r>
    <r>
      <rPr>
        <sz val="10"/>
        <rFont val="Verdana"/>
        <family val="2"/>
      </rPr>
      <t>)</t>
    </r>
  </si>
  <si>
    <r>
      <rPr>
        <b/>
        <sz val="10"/>
        <rFont val="Verdana"/>
        <family val="2"/>
      </rPr>
      <t>Clocal</t>
    </r>
    <r>
      <rPr>
        <b/>
        <vertAlign val="subscript"/>
        <sz val="10"/>
        <rFont val="Verdana"/>
        <family val="2"/>
      </rPr>
      <t>soil,brush_fence</t>
    </r>
    <r>
      <rPr>
        <sz val="10"/>
        <rFont val="Verdana"/>
        <family val="2"/>
      </rPr>
      <t xml:space="preserve"> = E</t>
    </r>
    <r>
      <rPr>
        <vertAlign val="subscript"/>
        <sz val="10"/>
        <rFont val="Verdana"/>
        <family val="2"/>
      </rPr>
      <t>soil,brush_fence</t>
    </r>
    <r>
      <rPr>
        <sz val="10"/>
        <rFont val="Verdana"/>
        <family val="2"/>
      </rPr>
      <t xml:space="preserve"> * 10</t>
    </r>
    <r>
      <rPr>
        <vertAlign val="superscript"/>
        <sz val="10"/>
        <rFont val="Verdana"/>
        <family val="2"/>
      </rPr>
      <t>6</t>
    </r>
    <r>
      <rPr>
        <sz val="10"/>
        <rFont val="Verdana"/>
        <family val="2"/>
      </rPr>
      <t xml:space="preserve"> / (V</t>
    </r>
    <r>
      <rPr>
        <vertAlign val="subscript"/>
        <sz val="10"/>
        <rFont val="Verdana"/>
        <family val="2"/>
      </rPr>
      <t>soil</t>
    </r>
    <r>
      <rPr>
        <sz val="10"/>
        <rFont val="Verdana"/>
        <family val="2"/>
      </rPr>
      <t xml:space="preserve"> * RHO</t>
    </r>
    <r>
      <rPr>
        <vertAlign val="subscript"/>
        <sz val="10"/>
        <rFont val="Verdana"/>
        <family val="2"/>
      </rPr>
      <t>soil</t>
    </r>
    <r>
      <rPr>
        <sz val="10"/>
        <rFont val="Verdana"/>
        <family val="2"/>
      </rPr>
      <t>)</t>
    </r>
  </si>
  <si>
    <r>
      <t>mg.l</t>
    </r>
    <r>
      <rPr>
        <vertAlign val="superscript"/>
        <sz val="10"/>
        <rFont val="Verdana"/>
        <family val="2"/>
      </rPr>
      <t>-1</t>
    </r>
  </si>
  <si>
    <r>
      <rPr>
        <b/>
        <sz val="10"/>
        <rFont val="Verdana"/>
        <family val="2"/>
      </rPr>
      <t>Clocal</t>
    </r>
    <r>
      <rPr>
        <b/>
        <vertAlign val="subscript"/>
        <sz val="10"/>
        <rFont val="Verdana"/>
        <family val="2"/>
      </rPr>
      <t>water,brush_bridge</t>
    </r>
    <r>
      <rPr>
        <sz val="10"/>
        <rFont val="Verdana"/>
        <family val="2"/>
      </rPr>
      <t xml:space="preserve"> = E</t>
    </r>
    <r>
      <rPr>
        <vertAlign val="subscript"/>
        <sz val="10"/>
        <rFont val="Verdana"/>
        <family val="2"/>
      </rPr>
      <t>water,brush_bridge</t>
    </r>
    <r>
      <rPr>
        <sz val="10"/>
        <rFont val="Verdana"/>
        <family val="2"/>
      </rPr>
      <t xml:space="preserve"> * 1000 / V</t>
    </r>
    <r>
      <rPr>
        <vertAlign val="subscript"/>
        <sz val="10"/>
        <rFont val="Verdana"/>
        <family val="2"/>
      </rPr>
      <t>water</t>
    </r>
  </si>
  <si>
    <r>
      <t>m</t>
    </r>
    <r>
      <rPr>
        <vertAlign val="superscript"/>
        <sz val="10"/>
        <rFont val="Verdana"/>
        <family val="2"/>
      </rPr>
      <t>2</t>
    </r>
  </si>
  <si>
    <r>
      <t>mg.m</t>
    </r>
    <r>
      <rPr>
        <vertAlign val="superscript"/>
        <sz val="10"/>
        <rFont val="Verdana"/>
        <family val="2"/>
      </rPr>
      <t>-2</t>
    </r>
  </si>
  <si>
    <r>
      <t>mg.d</t>
    </r>
    <r>
      <rPr>
        <vertAlign val="superscript"/>
        <sz val="10"/>
        <rFont val="Verdana"/>
        <family val="2"/>
      </rPr>
      <t>-1</t>
    </r>
  </si>
  <si>
    <r>
      <rPr>
        <b/>
        <sz val="10"/>
        <rFont val="Verdana"/>
        <family val="2"/>
      </rPr>
      <t>Clocal</t>
    </r>
    <r>
      <rPr>
        <b/>
        <vertAlign val="subscript"/>
        <sz val="10"/>
        <rFont val="Verdana"/>
        <family val="2"/>
      </rPr>
      <t>water,TIME1</t>
    </r>
    <r>
      <rPr>
        <sz val="10"/>
        <rFont val="Verdana"/>
        <family val="2"/>
      </rPr>
      <t xml:space="preserve"> = [E</t>
    </r>
    <r>
      <rPr>
        <vertAlign val="subscript"/>
        <sz val="10"/>
        <rFont val="Verdana"/>
        <family val="2"/>
      </rPr>
      <t>water,leach,TIME1</t>
    </r>
    <r>
      <rPr>
        <sz val="10"/>
        <rFont val="Verdana"/>
        <family val="2"/>
      </rPr>
      <t>/(V</t>
    </r>
    <r>
      <rPr>
        <vertAlign val="subscript"/>
        <sz val="10"/>
        <rFont val="Verdana"/>
        <family val="2"/>
      </rPr>
      <t>water</t>
    </r>
    <r>
      <rPr>
        <sz val="10"/>
        <rFont val="Verdana"/>
        <family val="2"/>
      </rPr>
      <t>*k*1000)] * [1-(1-e</t>
    </r>
    <r>
      <rPr>
        <vertAlign val="superscript"/>
        <sz val="10"/>
        <rFont val="Verdana"/>
        <family val="2"/>
      </rPr>
      <t>-TIME1*k</t>
    </r>
    <r>
      <rPr>
        <sz val="10"/>
        <rFont val="Verdana"/>
        <family val="2"/>
      </rPr>
      <t>)/(k*TIME1)]</t>
    </r>
  </si>
  <si>
    <r>
      <rPr>
        <b/>
        <sz val="10"/>
        <rFont val="Verdana"/>
        <family val="2"/>
      </rPr>
      <t>Clocal</t>
    </r>
    <r>
      <rPr>
        <b/>
        <vertAlign val="subscript"/>
        <sz val="10"/>
        <rFont val="Verdana"/>
        <family val="2"/>
      </rPr>
      <t>water,TIME2</t>
    </r>
    <r>
      <rPr>
        <sz val="10"/>
        <rFont val="Verdana"/>
        <family val="2"/>
      </rPr>
      <t xml:space="preserve"> = [E</t>
    </r>
    <r>
      <rPr>
        <vertAlign val="subscript"/>
        <sz val="10"/>
        <rFont val="Verdana"/>
        <family val="2"/>
      </rPr>
      <t>water,leach,TIME2</t>
    </r>
    <r>
      <rPr>
        <sz val="10"/>
        <rFont val="Verdana"/>
        <family val="2"/>
      </rPr>
      <t>/(V</t>
    </r>
    <r>
      <rPr>
        <vertAlign val="subscript"/>
        <sz val="10"/>
        <rFont val="Verdana"/>
        <family val="2"/>
      </rPr>
      <t>water</t>
    </r>
    <r>
      <rPr>
        <sz val="10"/>
        <rFont val="Verdana"/>
        <family val="2"/>
      </rPr>
      <t>*k*1000)] * [1-(1-e</t>
    </r>
    <r>
      <rPr>
        <vertAlign val="superscript"/>
        <sz val="10"/>
        <rFont val="Verdana"/>
        <family val="2"/>
      </rPr>
      <t>-TIME2*k</t>
    </r>
    <r>
      <rPr>
        <sz val="10"/>
        <rFont val="Verdana"/>
        <family val="2"/>
      </rPr>
      <t>)/(k*TIME2)]</t>
    </r>
  </si>
  <si>
    <r>
      <rPr>
        <b/>
        <sz val="10"/>
        <rFont val="Verdana"/>
        <family val="2"/>
      </rPr>
      <t>Clocal</t>
    </r>
    <r>
      <rPr>
        <b/>
        <vertAlign val="subscript"/>
        <sz val="10"/>
        <rFont val="Verdana"/>
        <family val="2"/>
      </rPr>
      <t>water,TIME3</t>
    </r>
    <r>
      <rPr>
        <sz val="10"/>
        <rFont val="Verdana"/>
        <family val="2"/>
      </rPr>
      <t xml:space="preserve"> = [E</t>
    </r>
    <r>
      <rPr>
        <vertAlign val="subscript"/>
        <sz val="10"/>
        <rFont val="Verdana"/>
        <family val="2"/>
      </rPr>
      <t>water,leach,TIME3</t>
    </r>
    <r>
      <rPr>
        <sz val="10"/>
        <rFont val="Verdana"/>
        <family val="2"/>
      </rPr>
      <t>/(V</t>
    </r>
    <r>
      <rPr>
        <vertAlign val="subscript"/>
        <sz val="10"/>
        <rFont val="Verdana"/>
        <family val="2"/>
      </rPr>
      <t>water</t>
    </r>
    <r>
      <rPr>
        <sz val="10"/>
        <rFont val="Verdana"/>
        <family val="2"/>
      </rPr>
      <t>*k*1000)] * [1-(1-e</t>
    </r>
    <r>
      <rPr>
        <vertAlign val="superscript"/>
        <sz val="10"/>
        <rFont val="Verdana"/>
        <family val="2"/>
      </rPr>
      <t>-TIME3*k</t>
    </r>
    <r>
      <rPr>
        <sz val="10"/>
        <rFont val="Verdana"/>
        <family val="2"/>
      </rPr>
      <t>)/(k*TIME3)]</t>
    </r>
  </si>
  <si>
    <t>Go to the top of the page</t>
  </si>
  <si>
    <r>
      <rPr>
        <b/>
        <sz val="10"/>
        <rFont val="Verdana"/>
        <family val="2"/>
      </rPr>
      <t>Clocal</t>
    </r>
    <r>
      <rPr>
        <b/>
        <vertAlign val="subscript"/>
        <sz val="10"/>
        <rFont val="Verdana"/>
        <family val="2"/>
      </rPr>
      <t>water,TIME1</t>
    </r>
    <r>
      <rPr>
        <sz val="10"/>
        <rFont val="Verdana"/>
        <family val="2"/>
      </rPr>
      <t xml:space="preserve"> = [E</t>
    </r>
    <r>
      <rPr>
        <vertAlign val="subscript"/>
        <sz val="10"/>
        <rFont val="Verdana"/>
        <family val="2"/>
      </rPr>
      <t>water,leach,TIME1</t>
    </r>
    <r>
      <rPr>
        <sz val="10"/>
        <rFont val="Verdana"/>
        <family val="2"/>
      </rPr>
      <t>*0.001/(V</t>
    </r>
    <r>
      <rPr>
        <vertAlign val="subscript"/>
        <sz val="10"/>
        <rFont val="Verdana"/>
        <family val="2"/>
      </rPr>
      <t>water</t>
    </r>
    <r>
      <rPr>
        <sz val="10"/>
        <rFont val="Verdana"/>
        <family val="2"/>
      </rPr>
      <t>*k)] * [1-(1-e</t>
    </r>
    <r>
      <rPr>
        <vertAlign val="superscript"/>
        <sz val="10"/>
        <rFont val="Verdana"/>
        <family val="2"/>
      </rPr>
      <t>-TIME1*k</t>
    </r>
    <r>
      <rPr>
        <sz val="10"/>
        <rFont val="Verdana"/>
        <family val="2"/>
      </rPr>
      <t>)/(k*TIME1)]</t>
    </r>
  </si>
  <si>
    <r>
      <rPr>
        <b/>
        <sz val="10"/>
        <rFont val="Verdana"/>
        <family val="2"/>
      </rPr>
      <t>Clocal</t>
    </r>
    <r>
      <rPr>
        <b/>
        <vertAlign val="subscript"/>
        <sz val="10"/>
        <rFont val="Verdana"/>
        <family val="2"/>
      </rPr>
      <t>water,TIME2</t>
    </r>
    <r>
      <rPr>
        <sz val="10"/>
        <rFont val="Verdana"/>
        <family val="2"/>
      </rPr>
      <t xml:space="preserve"> = [E</t>
    </r>
    <r>
      <rPr>
        <vertAlign val="subscript"/>
        <sz val="10"/>
        <rFont val="Verdana"/>
        <family val="2"/>
      </rPr>
      <t>water,leach,TIME2</t>
    </r>
    <r>
      <rPr>
        <sz val="10"/>
        <rFont val="Verdana"/>
        <family val="2"/>
      </rPr>
      <t>*0.001/(V</t>
    </r>
    <r>
      <rPr>
        <vertAlign val="subscript"/>
        <sz val="10"/>
        <rFont val="Verdana"/>
        <family val="2"/>
      </rPr>
      <t>water</t>
    </r>
    <r>
      <rPr>
        <sz val="10"/>
        <rFont val="Verdana"/>
        <family val="2"/>
      </rPr>
      <t>*k)] * [1-(1-e</t>
    </r>
    <r>
      <rPr>
        <vertAlign val="superscript"/>
        <sz val="10"/>
        <rFont val="Verdana"/>
        <family val="2"/>
      </rPr>
      <t>-TIME2*k</t>
    </r>
    <r>
      <rPr>
        <sz val="10"/>
        <rFont val="Verdana"/>
        <family val="2"/>
      </rPr>
      <t>)/(k*TIME2)]</t>
    </r>
  </si>
  <si>
    <r>
      <rPr>
        <b/>
        <sz val="10"/>
        <rFont val="Verdana"/>
        <family val="2"/>
      </rPr>
      <t>Clocal</t>
    </r>
    <r>
      <rPr>
        <b/>
        <vertAlign val="subscript"/>
        <sz val="10"/>
        <rFont val="Verdana"/>
        <family val="2"/>
      </rPr>
      <t>water,TIME3</t>
    </r>
    <r>
      <rPr>
        <sz val="10"/>
        <rFont val="Verdana"/>
        <family val="2"/>
      </rPr>
      <t xml:space="preserve"> = [E</t>
    </r>
    <r>
      <rPr>
        <vertAlign val="subscript"/>
        <sz val="10"/>
        <rFont val="Verdana"/>
        <family val="2"/>
      </rPr>
      <t>water,leach,TIME3</t>
    </r>
    <r>
      <rPr>
        <sz val="10"/>
        <rFont val="Verdana"/>
        <family val="2"/>
      </rPr>
      <t>*0.001/(V</t>
    </r>
    <r>
      <rPr>
        <vertAlign val="subscript"/>
        <sz val="10"/>
        <rFont val="Verdana"/>
        <family val="2"/>
      </rPr>
      <t>water</t>
    </r>
    <r>
      <rPr>
        <sz val="10"/>
        <rFont val="Verdana"/>
        <family val="2"/>
      </rPr>
      <t>*k)] * [1-(1-e</t>
    </r>
    <r>
      <rPr>
        <vertAlign val="superscript"/>
        <sz val="10"/>
        <rFont val="Verdana"/>
        <family val="2"/>
      </rPr>
      <t>-TIME3*k</t>
    </r>
    <r>
      <rPr>
        <sz val="10"/>
        <rFont val="Verdana"/>
        <family val="2"/>
      </rPr>
      <t>)/(k*TIME3)]</t>
    </r>
  </si>
  <si>
    <r>
      <rPr>
        <b/>
        <sz val="10"/>
        <rFont val="Verdana"/>
        <family val="2"/>
      </rPr>
      <t>Clocal</t>
    </r>
    <r>
      <rPr>
        <b/>
        <vertAlign val="subscript"/>
        <sz val="10"/>
        <rFont val="Verdana"/>
        <family val="2"/>
      </rPr>
      <t>water,leach,TIME1</t>
    </r>
    <r>
      <rPr>
        <sz val="10"/>
        <rFont val="Verdana"/>
        <family val="2"/>
      </rPr>
      <t xml:space="preserve"> = Q</t>
    </r>
    <r>
      <rPr>
        <vertAlign val="subscript"/>
        <sz val="10"/>
        <rFont val="Verdana"/>
        <family val="2"/>
      </rPr>
      <t xml:space="preserve">leach,TIME1 </t>
    </r>
    <r>
      <rPr>
        <sz val="10"/>
        <rFont val="Verdana"/>
        <family val="2"/>
      </rPr>
      <t>* 0.001</t>
    </r>
    <r>
      <rPr>
        <vertAlign val="subscript"/>
        <sz val="10"/>
        <rFont val="Verdana"/>
        <family val="2"/>
      </rPr>
      <t xml:space="preserve"> </t>
    </r>
    <r>
      <rPr>
        <sz val="10"/>
        <rFont val="Verdana"/>
        <family val="2"/>
      </rPr>
      <t>/ V</t>
    </r>
    <r>
      <rPr>
        <vertAlign val="subscript"/>
        <sz val="10"/>
        <rFont val="Verdana"/>
        <family val="2"/>
      </rPr>
      <t>water</t>
    </r>
    <r>
      <rPr>
        <sz val="10"/>
        <rFont val="Verdana"/>
        <family val="2"/>
      </rPr>
      <t xml:space="preserve"> </t>
    </r>
  </si>
  <si>
    <r>
      <rPr>
        <b/>
        <sz val="10"/>
        <rFont val="Verdana"/>
        <family val="2"/>
      </rPr>
      <t>Clocal</t>
    </r>
    <r>
      <rPr>
        <b/>
        <vertAlign val="subscript"/>
        <sz val="10"/>
        <rFont val="Verdana"/>
        <family val="2"/>
      </rPr>
      <t>water,leach,TIME2</t>
    </r>
    <r>
      <rPr>
        <sz val="10"/>
        <rFont val="Verdana"/>
        <family val="2"/>
      </rPr>
      <t xml:space="preserve"> = Q</t>
    </r>
    <r>
      <rPr>
        <vertAlign val="subscript"/>
        <sz val="10"/>
        <rFont val="Verdana"/>
        <family val="2"/>
      </rPr>
      <t>leach,TIME2</t>
    </r>
    <r>
      <rPr>
        <sz val="10"/>
        <rFont val="Verdana"/>
        <family val="2"/>
      </rPr>
      <t xml:space="preserve"> * 0.001 / V</t>
    </r>
    <r>
      <rPr>
        <vertAlign val="subscript"/>
        <sz val="10"/>
        <rFont val="Verdana"/>
        <family val="2"/>
      </rPr>
      <t>water</t>
    </r>
    <r>
      <rPr>
        <sz val="10"/>
        <rFont val="Verdana"/>
        <family val="2"/>
      </rPr>
      <t xml:space="preserve"> </t>
    </r>
  </si>
  <si>
    <r>
      <rPr>
        <b/>
        <sz val="10"/>
        <rFont val="Verdana"/>
        <family val="2"/>
      </rPr>
      <t>Clocal</t>
    </r>
    <r>
      <rPr>
        <b/>
        <vertAlign val="subscript"/>
        <sz val="10"/>
        <rFont val="Verdana"/>
        <family val="2"/>
      </rPr>
      <t>water,leach,TIME3</t>
    </r>
    <r>
      <rPr>
        <sz val="10"/>
        <rFont val="Verdana"/>
        <family val="2"/>
      </rPr>
      <t xml:space="preserve"> = Q</t>
    </r>
    <r>
      <rPr>
        <vertAlign val="subscript"/>
        <sz val="10"/>
        <rFont val="Verdana"/>
        <family val="2"/>
      </rPr>
      <t>leach,TIME3</t>
    </r>
    <r>
      <rPr>
        <sz val="10"/>
        <rFont val="Verdana"/>
        <family val="2"/>
      </rPr>
      <t xml:space="preserve"> * 0.001 / V</t>
    </r>
    <r>
      <rPr>
        <vertAlign val="subscript"/>
        <sz val="10"/>
        <rFont val="Verdana"/>
        <family val="2"/>
      </rPr>
      <t>water</t>
    </r>
    <r>
      <rPr>
        <sz val="10"/>
        <rFont val="Verdana"/>
        <family val="2"/>
      </rPr>
      <t xml:space="preserve"> </t>
    </r>
  </si>
  <si>
    <r>
      <rPr>
        <b/>
        <sz val="10"/>
        <rFont val="Verdana"/>
        <family val="2"/>
      </rPr>
      <t>Clocal</t>
    </r>
    <r>
      <rPr>
        <b/>
        <vertAlign val="subscript"/>
        <sz val="10"/>
        <rFont val="Verdana"/>
        <family val="2"/>
      </rPr>
      <t>water,leach,TIME1</t>
    </r>
    <r>
      <rPr>
        <sz val="10"/>
        <rFont val="Verdana"/>
        <family val="2"/>
      </rPr>
      <t xml:space="preserve"> = Q</t>
    </r>
    <r>
      <rPr>
        <vertAlign val="subscript"/>
        <sz val="10"/>
        <rFont val="Verdana"/>
        <family val="2"/>
      </rPr>
      <t>leach,TIME1</t>
    </r>
    <r>
      <rPr>
        <sz val="10"/>
        <rFont val="Verdana"/>
        <family val="2"/>
      </rPr>
      <t xml:space="preserve"> * 0.001 / V</t>
    </r>
    <r>
      <rPr>
        <vertAlign val="subscript"/>
        <sz val="10"/>
        <rFont val="Verdana"/>
        <family val="2"/>
      </rPr>
      <t>water</t>
    </r>
    <r>
      <rPr>
        <sz val="10"/>
        <rFont val="Verdana"/>
        <family val="2"/>
      </rPr>
      <t xml:space="preserve"> </t>
    </r>
  </si>
  <si>
    <r>
      <rPr>
        <b/>
        <sz val="10"/>
        <rFont val="Verdana"/>
        <family val="2"/>
      </rPr>
      <t>Clocal</t>
    </r>
    <r>
      <rPr>
        <b/>
        <vertAlign val="subscript"/>
        <sz val="10"/>
        <rFont val="Verdana"/>
        <family val="2"/>
      </rPr>
      <t>water,TIME1</t>
    </r>
    <r>
      <rPr>
        <sz val="10"/>
        <rFont val="Verdana"/>
        <family val="2"/>
      </rPr>
      <t xml:space="preserve"> = [E</t>
    </r>
    <r>
      <rPr>
        <vertAlign val="subscript"/>
        <sz val="10"/>
        <rFont val="Verdana"/>
        <family val="2"/>
      </rPr>
      <t>water,leach,TIME1</t>
    </r>
    <r>
      <rPr>
        <sz val="10"/>
        <rFont val="Verdana"/>
        <family val="2"/>
      </rPr>
      <t>*0.001/(V</t>
    </r>
    <r>
      <rPr>
        <vertAlign val="subscript"/>
        <sz val="10"/>
        <rFont val="Verdana"/>
        <family val="2"/>
      </rPr>
      <t>water</t>
    </r>
    <r>
      <rPr>
        <sz val="10"/>
        <rFont val="Verdana"/>
        <family val="2"/>
      </rPr>
      <t>*k)] * [1-(1-e</t>
    </r>
    <r>
      <rPr>
        <vertAlign val="superscript"/>
        <sz val="10"/>
        <rFont val="Verdana"/>
        <family val="2"/>
      </rPr>
      <t>-TAU</t>
    </r>
    <r>
      <rPr>
        <vertAlign val="superscript"/>
        <sz val="8"/>
        <rFont val="Verdana"/>
        <family val="2"/>
      </rPr>
      <t>wway</t>
    </r>
    <r>
      <rPr>
        <vertAlign val="superscript"/>
        <sz val="10"/>
        <rFont val="Verdana"/>
        <family val="2"/>
      </rPr>
      <t>*k</t>
    </r>
    <r>
      <rPr>
        <sz val="10"/>
        <rFont val="Verdana"/>
        <family val="2"/>
      </rPr>
      <t>)/(k*TAU</t>
    </r>
    <r>
      <rPr>
        <vertAlign val="subscript"/>
        <sz val="10"/>
        <rFont val="Verdana"/>
        <family val="2"/>
      </rPr>
      <t>wway</t>
    </r>
    <r>
      <rPr>
        <sz val="10"/>
        <rFont val="Verdana"/>
        <family val="2"/>
      </rPr>
      <t>)]</t>
    </r>
  </si>
  <si>
    <r>
      <rPr>
        <b/>
        <sz val="10"/>
        <rFont val="Verdana"/>
        <family val="2"/>
      </rPr>
      <t>Clocal</t>
    </r>
    <r>
      <rPr>
        <b/>
        <vertAlign val="subscript"/>
        <sz val="10"/>
        <rFont val="Verdana"/>
        <family val="2"/>
      </rPr>
      <t>water,TIME2</t>
    </r>
    <r>
      <rPr>
        <sz val="10"/>
        <rFont val="Verdana"/>
        <family val="2"/>
      </rPr>
      <t xml:space="preserve"> = [E</t>
    </r>
    <r>
      <rPr>
        <vertAlign val="subscript"/>
        <sz val="10"/>
        <rFont val="Verdana"/>
        <family val="2"/>
      </rPr>
      <t>water,leach,TIME2</t>
    </r>
    <r>
      <rPr>
        <sz val="10"/>
        <rFont val="Verdana"/>
        <family val="2"/>
      </rPr>
      <t>*0.001/(V</t>
    </r>
    <r>
      <rPr>
        <vertAlign val="subscript"/>
        <sz val="10"/>
        <rFont val="Verdana"/>
        <family val="2"/>
      </rPr>
      <t>water</t>
    </r>
    <r>
      <rPr>
        <sz val="10"/>
        <rFont val="Verdana"/>
        <family val="2"/>
      </rPr>
      <t>*k)] * [1-(1-e</t>
    </r>
    <r>
      <rPr>
        <vertAlign val="superscript"/>
        <sz val="10"/>
        <rFont val="Verdana"/>
        <family val="2"/>
      </rPr>
      <t>-TAU</t>
    </r>
    <r>
      <rPr>
        <vertAlign val="superscript"/>
        <sz val="8"/>
        <rFont val="Verdana"/>
        <family val="2"/>
      </rPr>
      <t>wway</t>
    </r>
    <r>
      <rPr>
        <vertAlign val="superscript"/>
        <sz val="10"/>
        <rFont val="Verdana"/>
        <family val="2"/>
      </rPr>
      <t>*k</t>
    </r>
    <r>
      <rPr>
        <sz val="10"/>
        <rFont val="Verdana"/>
        <family val="2"/>
      </rPr>
      <t>)/(k*TAU</t>
    </r>
    <r>
      <rPr>
        <vertAlign val="subscript"/>
        <sz val="10"/>
        <rFont val="Verdana"/>
        <family val="2"/>
      </rPr>
      <t>wway</t>
    </r>
    <r>
      <rPr>
        <sz val="10"/>
        <rFont val="Verdana"/>
        <family val="2"/>
      </rPr>
      <t>)]</t>
    </r>
  </si>
  <si>
    <r>
      <rPr>
        <b/>
        <sz val="10"/>
        <rFont val="Verdana"/>
        <family val="2"/>
      </rPr>
      <t>Clocal</t>
    </r>
    <r>
      <rPr>
        <b/>
        <vertAlign val="subscript"/>
        <sz val="10"/>
        <rFont val="Verdana"/>
        <family val="2"/>
      </rPr>
      <t>water,TIME3</t>
    </r>
    <r>
      <rPr>
        <sz val="10"/>
        <rFont val="Verdana"/>
        <family val="2"/>
      </rPr>
      <t xml:space="preserve"> = [E</t>
    </r>
    <r>
      <rPr>
        <vertAlign val="subscript"/>
        <sz val="10"/>
        <rFont val="Verdana"/>
        <family val="2"/>
      </rPr>
      <t>water,leach,TIME3</t>
    </r>
    <r>
      <rPr>
        <sz val="10"/>
        <rFont val="Verdana"/>
        <family val="2"/>
      </rPr>
      <t>*0.001/(V</t>
    </r>
    <r>
      <rPr>
        <vertAlign val="subscript"/>
        <sz val="10"/>
        <rFont val="Verdana"/>
        <family val="2"/>
      </rPr>
      <t>water</t>
    </r>
    <r>
      <rPr>
        <sz val="10"/>
        <rFont val="Verdana"/>
        <family val="2"/>
      </rPr>
      <t>*k)] * [1-(1-e</t>
    </r>
    <r>
      <rPr>
        <vertAlign val="superscript"/>
        <sz val="10"/>
        <rFont val="Verdana"/>
        <family val="2"/>
      </rPr>
      <t>-TAU</t>
    </r>
    <r>
      <rPr>
        <vertAlign val="superscript"/>
        <sz val="8"/>
        <rFont val="Verdana"/>
        <family val="2"/>
      </rPr>
      <t>wway</t>
    </r>
    <r>
      <rPr>
        <vertAlign val="superscript"/>
        <sz val="10"/>
        <rFont val="Verdana"/>
        <family val="2"/>
      </rPr>
      <t>*k</t>
    </r>
    <r>
      <rPr>
        <sz val="10"/>
        <rFont val="Verdana"/>
        <family val="2"/>
      </rPr>
      <t>)/(k*TAU</t>
    </r>
    <r>
      <rPr>
        <vertAlign val="subscript"/>
        <sz val="10"/>
        <rFont val="Verdana"/>
        <family val="2"/>
      </rPr>
      <t>wway</t>
    </r>
    <r>
      <rPr>
        <sz val="10"/>
        <rFont val="Verdana"/>
        <family val="2"/>
      </rPr>
      <t>)]</t>
    </r>
  </si>
  <si>
    <r>
      <t>kg.kg</t>
    </r>
    <r>
      <rPr>
        <vertAlign val="subscript"/>
        <sz val="10"/>
        <rFont val="Verdana"/>
        <family val="2"/>
      </rPr>
      <t>wwt</t>
    </r>
    <r>
      <rPr>
        <vertAlign val="superscript"/>
        <sz val="10"/>
        <rFont val="Verdana"/>
        <family val="2"/>
      </rPr>
      <t>-1</t>
    </r>
  </si>
  <si>
    <r>
      <rPr>
        <b/>
        <sz val="10"/>
        <rFont val="Verdana"/>
        <family val="2"/>
      </rPr>
      <t>Clocal</t>
    </r>
    <r>
      <rPr>
        <b/>
        <vertAlign val="subscript"/>
        <sz val="10"/>
        <rFont val="Verdana"/>
        <family val="2"/>
      </rPr>
      <t>pore,TIME1</t>
    </r>
    <r>
      <rPr>
        <b/>
        <sz val="10"/>
        <rFont val="Verdana"/>
        <family val="2"/>
      </rPr>
      <t xml:space="preserve"> =</t>
    </r>
    <r>
      <rPr>
        <sz val="10"/>
        <rFont val="Verdana"/>
        <family val="2"/>
      </rPr>
      <t xml:space="preserve"> Clocal</t>
    </r>
    <r>
      <rPr>
        <vertAlign val="subscript"/>
        <sz val="10"/>
        <rFont val="Verdana"/>
        <family val="2"/>
      </rPr>
      <t>soil,TIME1</t>
    </r>
    <r>
      <rPr>
        <sz val="10"/>
        <rFont val="Verdana"/>
        <family val="2"/>
      </rPr>
      <t xml:space="preserve"> * RHO</t>
    </r>
    <r>
      <rPr>
        <vertAlign val="subscript"/>
        <sz val="10"/>
        <rFont val="Verdana"/>
        <family val="2"/>
      </rPr>
      <t>soil</t>
    </r>
    <r>
      <rPr>
        <sz val="10"/>
        <rFont val="Verdana"/>
        <family val="2"/>
      </rPr>
      <t xml:space="preserve"> * 0.001 / K</t>
    </r>
    <r>
      <rPr>
        <vertAlign val="subscript"/>
        <sz val="10"/>
        <rFont val="Verdana"/>
        <family val="2"/>
      </rPr>
      <t>soil-water</t>
    </r>
  </si>
  <si>
    <r>
      <rPr>
        <b/>
        <sz val="10"/>
        <rFont val="Verdana"/>
        <family val="2"/>
      </rPr>
      <t>Clocal</t>
    </r>
    <r>
      <rPr>
        <b/>
        <vertAlign val="subscript"/>
        <sz val="10"/>
        <rFont val="Verdana"/>
        <family val="2"/>
      </rPr>
      <t>pore,TIME2</t>
    </r>
    <r>
      <rPr>
        <b/>
        <sz val="10"/>
        <rFont val="Verdana"/>
        <family val="2"/>
      </rPr>
      <t xml:space="preserve"> =</t>
    </r>
    <r>
      <rPr>
        <sz val="10"/>
        <rFont val="Verdana"/>
        <family val="2"/>
      </rPr>
      <t xml:space="preserve"> Clocal</t>
    </r>
    <r>
      <rPr>
        <vertAlign val="subscript"/>
        <sz val="10"/>
        <rFont val="Verdana"/>
        <family val="2"/>
      </rPr>
      <t>soil,TIME2</t>
    </r>
    <r>
      <rPr>
        <sz val="10"/>
        <rFont val="Verdana"/>
        <family val="2"/>
      </rPr>
      <t xml:space="preserve"> * RHO</t>
    </r>
    <r>
      <rPr>
        <vertAlign val="subscript"/>
        <sz val="10"/>
        <rFont val="Verdana"/>
        <family val="2"/>
      </rPr>
      <t>soil</t>
    </r>
    <r>
      <rPr>
        <sz val="10"/>
        <rFont val="Verdana"/>
        <family val="2"/>
      </rPr>
      <t xml:space="preserve"> * 0.001 / K</t>
    </r>
    <r>
      <rPr>
        <vertAlign val="subscript"/>
        <sz val="10"/>
        <rFont val="Verdana"/>
        <family val="2"/>
      </rPr>
      <t>soil-water</t>
    </r>
  </si>
  <si>
    <r>
      <rPr>
        <b/>
        <sz val="10"/>
        <rFont val="Verdana"/>
        <family val="2"/>
      </rPr>
      <t>Clocal</t>
    </r>
    <r>
      <rPr>
        <b/>
        <vertAlign val="subscript"/>
        <sz val="10"/>
        <rFont val="Verdana"/>
        <family val="2"/>
      </rPr>
      <t>pore,TIME3</t>
    </r>
    <r>
      <rPr>
        <b/>
        <sz val="10"/>
        <rFont val="Verdana"/>
        <family val="2"/>
      </rPr>
      <t xml:space="preserve"> =</t>
    </r>
    <r>
      <rPr>
        <sz val="10"/>
        <rFont val="Verdana"/>
        <family val="2"/>
      </rPr>
      <t xml:space="preserve"> Clocal</t>
    </r>
    <r>
      <rPr>
        <vertAlign val="subscript"/>
        <sz val="10"/>
        <rFont val="Verdana"/>
        <family val="2"/>
      </rPr>
      <t>soil,TIME3</t>
    </r>
    <r>
      <rPr>
        <sz val="10"/>
        <rFont val="Verdana"/>
        <family val="2"/>
      </rPr>
      <t xml:space="preserve"> * RHO</t>
    </r>
    <r>
      <rPr>
        <vertAlign val="subscript"/>
        <sz val="10"/>
        <rFont val="Verdana"/>
        <family val="2"/>
      </rPr>
      <t>soil</t>
    </r>
    <r>
      <rPr>
        <sz val="10"/>
        <rFont val="Verdana"/>
        <family val="2"/>
      </rPr>
      <t xml:space="preserve"> * 0.001 / K</t>
    </r>
    <r>
      <rPr>
        <vertAlign val="subscript"/>
        <sz val="10"/>
        <rFont val="Verdana"/>
        <family val="2"/>
      </rPr>
      <t>soil-water</t>
    </r>
  </si>
  <si>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perscript"/>
        <sz val="10"/>
        <rFont val="Verdana"/>
        <family val="2"/>
      </rPr>
      <t>-TIME1*k</t>
    </r>
  </si>
  <si>
    <r>
      <rPr>
        <b/>
        <sz val="10"/>
        <rFont val="Verdana"/>
        <family val="2"/>
      </rPr>
      <t>Clocal</t>
    </r>
    <r>
      <rPr>
        <b/>
        <vertAlign val="subscript"/>
        <sz val="10"/>
        <rFont val="Verdana"/>
        <family val="2"/>
      </rPr>
      <t>soil,TIME2</t>
    </r>
    <r>
      <rPr>
        <sz val="10"/>
        <rFont val="Verdana"/>
        <family val="2"/>
      </rPr>
      <t xml:space="preserve">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perscript"/>
        <sz val="10"/>
        <rFont val="Verdana"/>
        <family val="2"/>
      </rPr>
      <t>-TIME2*k</t>
    </r>
  </si>
  <si>
    <r>
      <t>mg.m</t>
    </r>
    <r>
      <rPr>
        <vertAlign val="superscript"/>
        <sz val="10"/>
        <rFont val="Verdana"/>
        <family val="2"/>
      </rPr>
      <t>-3</t>
    </r>
  </si>
  <si>
    <r>
      <rPr>
        <b/>
        <sz val="10"/>
        <rFont val="Verdana"/>
        <family val="2"/>
      </rPr>
      <t>Clocal</t>
    </r>
    <r>
      <rPr>
        <b/>
        <vertAlign val="subscript"/>
        <sz val="10"/>
        <rFont val="Verdana"/>
        <family val="2"/>
      </rPr>
      <t>water,TIME1</t>
    </r>
    <r>
      <rPr>
        <sz val="10"/>
        <rFont val="Verdana"/>
        <family val="2"/>
      </rPr>
      <t xml:space="preserve"> = [E</t>
    </r>
    <r>
      <rPr>
        <vertAlign val="subscript"/>
        <sz val="10"/>
        <rFont val="Verdana"/>
        <family val="2"/>
      </rPr>
      <t>water,leach,TIME1</t>
    </r>
    <r>
      <rPr>
        <sz val="10"/>
        <rFont val="Verdana"/>
        <family val="2"/>
      </rPr>
      <t>*0.001/(V</t>
    </r>
    <r>
      <rPr>
        <vertAlign val="subscript"/>
        <sz val="10"/>
        <rFont val="Verdana"/>
        <family val="2"/>
      </rPr>
      <t>water</t>
    </r>
    <r>
      <rPr>
        <sz val="10"/>
        <rFont val="Verdana"/>
        <family val="2"/>
      </rPr>
      <t>*k)] * [1-(1-e</t>
    </r>
    <r>
      <rPr>
        <vertAlign val="superscript"/>
        <sz val="10"/>
        <rFont val="Verdana"/>
        <family val="2"/>
      </rPr>
      <t>-TAU</t>
    </r>
    <r>
      <rPr>
        <vertAlign val="superscript"/>
        <sz val="8"/>
        <rFont val="Verdana"/>
        <family val="2"/>
      </rPr>
      <t>wway</t>
    </r>
    <r>
      <rPr>
        <vertAlign val="superscript"/>
        <sz val="10"/>
        <rFont val="Verdana"/>
        <family val="2"/>
      </rPr>
      <t>*k</t>
    </r>
    <r>
      <rPr>
        <sz val="10"/>
        <rFont val="Verdana"/>
        <family val="2"/>
      </rPr>
      <t>)/(k*TAU</t>
    </r>
    <r>
      <rPr>
        <vertAlign val="subscript"/>
        <sz val="10"/>
        <rFont val="Verdana"/>
        <family val="2"/>
      </rPr>
      <t>seawater</t>
    </r>
    <r>
      <rPr>
        <sz val="10"/>
        <rFont val="Verdana"/>
        <family val="2"/>
      </rPr>
      <t>)]</t>
    </r>
  </si>
  <si>
    <r>
      <rPr>
        <b/>
        <sz val="10"/>
        <rFont val="Verdana"/>
        <family val="2"/>
      </rPr>
      <t>Clocal</t>
    </r>
    <r>
      <rPr>
        <b/>
        <vertAlign val="subscript"/>
        <sz val="10"/>
        <rFont val="Verdana"/>
        <family val="2"/>
      </rPr>
      <t>water,TIME2</t>
    </r>
    <r>
      <rPr>
        <sz val="10"/>
        <rFont val="Verdana"/>
        <family val="2"/>
      </rPr>
      <t xml:space="preserve"> = [E</t>
    </r>
    <r>
      <rPr>
        <vertAlign val="subscript"/>
        <sz val="10"/>
        <rFont val="Verdana"/>
        <family val="2"/>
      </rPr>
      <t>water,leach,TIME2</t>
    </r>
    <r>
      <rPr>
        <sz val="10"/>
        <rFont val="Verdana"/>
        <family val="2"/>
      </rPr>
      <t>*0.001/(V</t>
    </r>
    <r>
      <rPr>
        <vertAlign val="subscript"/>
        <sz val="10"/>
        <rFont val="Verdana"/>
        <family val="2"/>
      </rPr>
      <t>water</t>
    </r>
    <r>
      <rPr>
        <sz val="10"/>
        <rFont val="Verdana"/>
        <family val="2"/>
      </rPr>
      <t>*k)] * [1-(1-e</t>
    </r>
    <r>
      <rPr>
        <vertAlign val="superscript"/>
        <sz val="10"/>
        <rFont val="Verdana"/>
        <family val="2"/>
      </rPr>
      <t>-TAU</t>
    </r>
    <r>
      <rPr>
        <vertAlign val="superscript"/>
        <sz val="8"/>
        <rFont val="Verdana"/>
        <family val="2"/>
      </rPr>
      <t>wway</t>
    </r>
    <r>
      <rPr>
        <vertAlign val="superscript"/>
        <sz val="10"/>
        <rFont val="Verdana"/>
        <family val="2"/>
      </rPr>
      <t>*k</t>
    </r>
    <r>
      <rPr>
        <sz val="10"/>
        <rFont val="Verdana"/>
        <family val="2"/>
      </rPr>
      <t>)/(k*TAU</t>
    </r>
    <r>
      <rPr>
        <vertAlign val="subscript"/>
        <sz val="10"/>
        <rFont val="Verdana"/>
        <family val="2"/>
      </rPr>
      <t>seawater</t>
    </r>
    <r>
      <rPr>
        <sz val="10"/>
        <rFont val="Verdana"/>
        <family val="2"/>
      </rPr>
      <t>)]</t>
    </r>
  </si>
  <si>
    <r>
      <rPr>
        <b/>
        <sz val="10"/>
        <rFont val="Verdana"/>
        <family val="2"/>
      </rPr>
      <t>Clocal</t>
    </r>
    <r>
      <rPr>
        <b/>
        <vertAlign val="subscript"/>
        <sz val="10"/>
        <rFont val="Verdana"/>
        <family val="2"/>
      </rPr>
      <t>water,TIME3</t>
    </r>
    <r>
      <rPr>
        <sz val="10"/>
        <rFont val="Verdana"/>
        <family val="2"/>
      </rPr>
      <t xml:space="preserve"> = [E</t>
    </r>
    <r>
      <rPr>
        <vertAlign val="subscript"/>
        <sz val="10"/>
        <rFont val="Verdana"/>
        <family val="2"/>
      </rPr>
      <t>water,leach,TIME3</t>
    </r>
    <r>
      <rPr>
        <sz val="10"/>
        <rFont val="Verdana"/>
        <family val="2"/>
      </rPr>
      <t>*0.001/(V</t>
    </r>
    <r>
      <rPr>
        <vertAlign val="subscript"/>
        <sz val="10"/>
        <rFont val="Verdana"/>
        <family val="2"/>
      </rPr>
      <t>water</t>
    </r>
    <r>
      <rPr>
        <sz val="10"/>
        <rFont val="Verdana"/>
        <family val="2"/>
      </rPr>
      <t>*k)] * [1-(1-e</t>
    </r>
    <r>
      <rPr>
        <vertAlign val="superscript"/>
        <sz val="10"/>
        <rFont val="Verdana"/>
        <family val="2"/>
      </rPr>
      <t>-TAU</t>
    </r>
    <r>
      <rPr>
        <vertAlign val="superscript"/>
        <sz val="8"/>
        <rFont val="Verdana"/>
        <family val="2"/>
      </rPr>
      <t>wway</t>
    </r>
    <r>
      <rPr>
        <vertAlign val="superscript"/>
        <sz val="10"/>
        <rFont val="Verdana"/>
        <family val="2"/>
      </rPr>
      <t>*k</t>
    </r>
    <r>
      <rPr>
        <sz val="10"/>
        <rFont val="Verdana"/>
        <family val="2"/>
      </rPr>
      <t>)/(k*TAU</t>
    </r>
    <r>
      <rPr>
        <vertAlign val="subscript"/>
        <sz val="10"/>
        <rFont val="Verdana"/>
        <family val="2"/>
      </rPr>
      <t>seawater</t>
    </r>
    <r>
      <rPr>
        <sz val="10"/>
        <rFont val="Verdana"/>
        <family val="2"/>
      </rPr>
      <t>)]</t>
    </r>
  </si>
  <si>
    <r>
      <t>Clocal</t>
    </r>
    <r>
      <rPr>
        <b/>
        <vertAlign val="subscript"/>
        <sz val="10"/>
        <rFont val="Verdana"/>
        <family val="2"/>
      </rPr>
      <t>soil,inj</t>
    </r>
    <r>
      <rPr>
        <sz val="10"/>
        <rFont val="Verdana"/>
        <family val="2"/>
      </rPr>
      <t xml:space="preserve"> = E</t>
    </r>
    <r>
      <rPr>
        <vertAlign val="subscript"/>
        <sz val="10"/>
        <rFont val="Verdana"/>
        <family val="2"/>
      </rPr>
      <t>soil,inj</t>
    </r>
    <r>
      <rPr>
        <sz val="10"/>
        <rFont val="Verdana"/>
        <family val="2"/>
      </rPr>
      <t xml:space="preserve"> / (V</t>
    </r>
    <r>
      <rPr>
        <vertAlign val="subscript"/>
        <sz val="10"/>
        <rFont val="Verdana"/>
        <family val="2"/>
      </rPr>
      <t>soil</t>
    </r>
    <r>
      <rPr>
        <sz val="10"/>
        <rFont val="Verdana"/>
        <family val="2"/>
      </rPr>
      <t xml:space="preserve"> * RHO</t>
    </r>
    <r>
      <rPr>
        <vertAlign val="subscript"/>
        <sz val="10"/>
        <rFont val="Verdana"/>
        <family val="2"/>
      </rPr>
      <t>soil</t>
    </r>
    <r>
      <rPr>
        <sz val="10"/>
        <rFont val="Verdana"/>
        <family val="2"/>
      </rPr>
      <t>)</t>
    </r>
  </si>
  <si>
    <r>
      <t>Q</t>
    </r>
    <r>
      <rPr>
        <b/>
        <vertAlign val="subscript"/>
        <sz val="10"/>
        <rFont val="Verdana"/>
        <family val="2"/>
      </rPr>
      <t>leach,TIME1</t>
    </r>
    <r>
      <rPr>
        <b/>
        <sz val="10"/>
        <rFont val="Verdana"/>
        <family val="2"/>
      </rPr>
      <t xml:space="preserve"> </t>
    </r>
    <r>
      <rPr>
        <sz val="10"/>
        <rFont val="Verdana"/>
        <family val="2"/>
      </rPr>
      <t>= AREA</t>
    </r>
    <r>
      <rPr>
        <vertAlign val="subscript"/>
        <sz val="10"/>
        <rFont val="Verdana"/>
        <family val="2"/>
      </rPr>
      <t xml:space="preserve">pole,below </t>
    </r>
    <r>
      <rPr>
        <sz val="10"/>
        <rFont val="Verdana"/>
        <family val="2"/>
      </rPr>
      <t>* Q</t>
    </r>
    <r>
      <rPr>
        <vertAlign val="superscript"/>
        <sz val="10"/>
        <rFont val="Verdana"/>
        <family val="2"/>
      </rPr>
      <t>*</t>
    </r>
    <r>
      <rPr>
        <vertAlign val="subscript"/>
        <sz val="10"/>
        <rFont val="Verdana"/>
        <family val="2"/>
      </rPr>
      <t>leach,TIME1</t>
    </r>
    <r>
      <rPr>
        <sz val="10"/>
        <color theme="1"/>
        <rFont val="Verdana"/>
        <family val="2"/>
      </rPr>
      <t/>
    </r>
  </si>
  <si>
    <r>
      <t>Q</t>
    </r>
    <r>
      <rPr>
        <b/>
        <vertAlign val="subscript"/>
        <sz val="10"/>
        <rFont val="Verdana"/>
        <family val="2"/>
      </rPr>
      <t>leach,TIME2</t>
    </r>
    <r>
      <rPr>
        <b/>
        <sz val="10"/>
        <rFont val="Verdana"/>
        <family val="2"/>
      </rPr>
      <t xml:space="preserve"> </t>
    </r>
    <r>
      <rPr>
        <sz val="10"/>
        <rFont val="Verdana"/>
        <family val="2"/>
      </rPr>
      <t>= AREA</t>
    </r>
    <r>
      <rPr>
        <vertAlign val="subscript"/>
        <sz val="10"/>
        <rFont val="Verdana"/>
        <family val="2"/>
      </rPr>
      <t xml:space="preserve">pole,below </t>
    </r>
    <r>
      <rPr>
        <sz val="10"/>
        <rFont val="Verdana"/>
        <family val="2"/>
      </rPr>
      <t>* Q</t>
    </r>
    <r>
      <rPr>
        <vertAlign val="superscript"/>
        <sz val="10"/>
        <rFont val="Verdana"/>
        <family val="2"/>
      </rPr>
      <t>*</t>
    </r>
    <r>
      <rPr>
        <vertAlign val="subscript"/>
        <sz val="10"/>
        <rFont val="Verdana"/>
        <family val="2"/>
      </rPr>
      <t>leach,TIME2</t>
    </r>
  </si>
  <si>
    <r>
      <t>Q</t>
    </r>
    <r>
      <rPr>
        <b/>
        <vertAlign val="subscript"/>
        <sz val="10"/>
        <rFont val="Verdana"/>
        <family val="2"/>
      </rPr>
      <t>leach,TIME3</t>
    </r>
    <r>
      <rPr>
        <b/>
        <sz val="10"/>
        <rFont val="Verdana"/>
        <family val="2"/>
      </rPr>
      <t xml:space="preserve"> </t>
    </r>
    <r>
      <rPr>
        <sz val="10"/>
        <rFont val="Verdana"/>
        <family val="2"/>
      </rPr>
      <t>= AREA</t>
    </r>
    <r>
      <rPr>
        <vertAlign val="subscript"/>
        <sz val="10"/>
        <rFont val="Verdana"/>
        <family val="2"/>
      </rPr>
      <t xml:space="preserve">pole,below </t>
    </r>
    <r>
      <rPr>
        <sz val="10"/>
        <rFont val="Verdana"/>
        <family val="2"/>
      </rPr>
      <t>* Q</t>
    </r>
    <r>
      <rPr>
        <vertAlign val="superscript"/>
        <sz val="10"/>
        <rFont val="Verdana"/>
        <family val="2"/>
      </rPr>
      <t>*</t>
    </r>
    <r>
      <rPr>
        <vertAlign val="subscript"/>
        <sz val="10"/>
        <rFont val="Verdana"/>
        <family val="2"/>
      </rPr>
      <t>leach,TIME3</t>
    </r>
  </si>
  <si>
    <r>
      <rPr>
        <b/>
        <sz val="10"/>
        <rFont val="Verdana"/>
        <family val="2"/>
      </rPr>
      <t>Clocal</t>
    </r>
    <r>
      <rPr>
        <b/>
        <vertAlign val="subscript"/>
        <sz val="10"/>
        <rFont val="Verdana"/>
        <family val="2"/>
      </rPr>
      <t>soil,leach,TIME1</t>
    </r>
    <r>
      <rPr>
        <sz val="10"/>
        <rFont val="Verdana"/>
        <family val="2"/>
      </rPr>
      <t xml:space="preserve"> = Q</t>
    </r>
    <r>
      <rPr>
        <vertAlign val="subscript"/>
        <sz val="10"/>
        <rFont val="Verdana"/>
        <family val="2"/>
      </rPr>
      <t>leach,TIME1</t>
    </r>
    <r>
      <rPr>
        <sz val="10"/>
        <rFont val="Verdana"/>
        <family val="2"/>
      </rPr>
      <t xml:space="preserve"> / (V</t>
    </r>
    <r>
      <rPr>
        <vertAlign val="subscript"/>
        <sz val="10"/>
        <rFont val="Verdana"/>
        <family val="2"/>
      </rPr>
      <t>soil</t>
    </r>
    <r>
      <rPr>
        <sz val="10"/>
        <rFont val="Verdana"/>
        <family val="2"/>
      </rPr>
      <t xml:space="preserve"> * RHO</t>
    </r>
    <r>
      <rPr>
        <vertAlign val="subscript"/>
        <sz val="10"/>
        <rFont val="Verdana"/>
        <family val="2"/>
      </rPr>
      <t>soil</t>
    </r>
    <r>
      <rPr>
        <sz val="10"/>
        <rFont val="Verdana"/>
        <family val="2"/>
      </rPr>
      <t xml:space="preserve">) </t>
    </r>
  </si>
  <si>
    <r>
      <rPr>
        <b/>
        <sz val="10"/>
        <rFont val="Verdana"/>
        <family val="2"/>
      </rPr>
      <t>Clocal</t>
    </r>
    <r>
      <rPr>
        <b/>
        <vertAlign val="subscript"/>
        <sz val="10"/>
        <rFont val="Verdana"/>
        <family val="2"/>
      </rPr>
      <t>soil,leach,TIME2</t>
    </r>
    <r>
      <rPr>
        <sz val="10"/>
        <rFont val="Verdana"/>
        <family val="2"/>
      </rPr>
      <t xml:space="preserve"> = Q</t>
    </r>
    <r>
      <rPr>
        <vertAlign val="subscript"/>
        <sz val="10"/>
        <rFont val="Verdana"/>
        <family val="2"/>
      </rPr>
      <t>leach,TIME2</t>
    </r>
    <r>
      <rPr>
        <sz val="10"/>
        <rFont val="Verdana"/>
        <family val="2"/>
      </rPr>
      <t xml:space="preserve"> / (V</t>
    </r>
    <r>
      <rPr>
        <vertAlign val="subscript"/>
        <sz val="10"/>
        <rFont val="Verdana"/>
        <family val="2"/>
      </rPr>
      <t>soil</t>
    </r>
    <r>
      <rPr>
        <sz val="10"/>
        <rFont val="Verdana"/>
        <family val="2"/>
      </rPr>
      <t xml:space="preserve"> * RHO</t>
    </r>
    <r>
      <rPr>
        <vertAlign val="subscript"/>
        <sz val="10"/>
        <rFont val="Verdana"/>
        <family val="2"/>
      </rPr>
      <t>soil</t>
    </r>
    <r>
      <rPr>
        <sz val="10"/>
        <rFont val="Verdana"/>
        <family val="2"/>
      </rPr>
      <t xml:space="preserve">) </t>
    </r>
  </si>
  <si>
    <r>
      <rPr>
        <b/>
        <sz val="10"/>
        <rFont val="Verdana"/>
        <family val="2"/>
      </rPr>
      <t>Clocal</t>
    </r>
    <r>
      <rPr>
        <b/>
        <vertAlign val="subscript"/>
        <sz val="10"/>
        <rFont val="Verdana"/>
        <family val="2"/>
      </rPr>
      <t>soil,leach,TIME3</t>
    </r>
    <r>
      <rPr>
        <sz val="10"/>
        <rFont val="Verdana"/>
        <family val="2"/>
      </rPr>
      <t xml:space="preserve"> = Q</t>
    </r>
    <r>
      <rPr>
        <vertAlign val="subscript"/>
        <sz val="10"/>
        <rFont val="Verdana"/>
        <family val="2"/>
      </rPr>
      <t>leach,TIME3</t>
    </r>
    <r>
      <rPr>
        <sz val="10"/>
        <rFont val="Verdana"/>
        <family val="2"/>
      </rPr>
      <t xml:space="preserve"> / (V</t>
    </r>
    <r>
      <rPr>
        <vertAlign val="subscript"/>
        <sz val="10"/>
        <rFont val="Verdana"/>
        <family val="2"/>
      </rPr>
      <t>soil</t>
    </r>
    <r>
      <rPr>
        <sz val="10"/>
        <rFont val="Verdana"/>
        <family val="2"/>
      </rPr>
      <t xml:space="preserve"> * RHO</t>
    </r>
    <r>
      <rPr>
        <vertAlign val="subscript"/>
        <sz val="10"/>
        <rFont val="Verdana"/>
        <family val="2"/>
      </rPr>
      <t>soil</t>
    </r>
    <r>
      <rPr>
        <sz val="10"/>
        <rFont val="Verdana"/>
        <family val="2"/>
      </rPr>
      <t xml:space="preserve">) </t>
    </r>
  </si>
  <si>
    <r>
      <t>Total</t>
    </r>
    <r>
      <rPr>
        <b/>
        <vertAlign val="subscript"/>
        <sz val="10"/>
        <rFont val="Verdana"/>
        <family val="2"/>
      </rPr>
      <t>product,applic</t>
    </r>
    <r>
      <rPr>
        <b/>
        <sz val="10"/>
        <rFont val="Verdana"/>
        <family val="2"/>
      </rPr>
      <t xml:space="preserve"> </t>
    </r>
    <r>
      <rPr>
        <sz val="10"/>
        <rFont val="Verdana"/>
        <family val="2"/>
      </rPr>
      <t>= (AREA</t>
    </r>
    <r>
      <rPr>
        <vertAlign val="subscript"/>
        <sz val="10"/>
        <rFont val="Verdana"/>
        <family val="2"/>
      </rPr>
      <t>treated</t>
    </r>
    <r>
      <rPr>
        <sz val="10"/>
        <rFont val="Verdana"/>
        <family val="2"/>
      </rPr>
      <t xml:space="preserve"> * QA</t>
    </r>
    <r>
      <rPr>
        <vertAlign val="subscript"/>
        <sz val="10"/>
        <rFont val="Verdana"/>
        <family val="2"/>
      </rPr>
      <t>applic,product</t>
    </r>
    <r>
      <rPr>
        <sz val="10"/>
        <rFont val="Verdana"/>
        <family val="2"/>
      </rPr>
      <t>) + (VOLUME</t>
    </r>
    <r>
      <rPr>
        <vertAlign val="subscript"/>
        <sz val="10"/>
        <rFont val="Verdana"/>
        <family val="2"/>
      </rPr>
      <t>treated,interiorsoil</t>
    </r>
    <r>
      <rPr>
        <sz val="10"/>
        <rFont val="Verdana"/>
        <family val="2"/>
      </rPr>
      <t xml:space="preserve"> * QV</t>
    </r>
    <r>
      <rPr>
        <vertAlign val="subscript"/>
        <sz val="10"/>
        <rFont val="Verdana"/>
        <family val="2"/>
      </rPr>
      <t>applic,product</t>
    </r>
    <r>
      <rPr>
        <sz val="10"/>
        <rFont val="Verdana"/>
        <family val="2"/>
      </rPr>
      <t>)</t>
    </r>
  </si>
  <si>
    <r>
      <t>E</t>
    </r>
    <r>
      <rPr>
        <b/>
        <vertAlign val="subscript"/>
        <sz val="10"/>
        <rFont val="Verdana"/>
        <family val="2"/>
      </rPr>
      <t>atm,foundation</t>
    </r>
    <r>
      <rPr>
        <b/>
        <sz val="10"/>
        <rFont val="Verdana"/>
        <family val="2"/>
      </rPr>
      <t xml:space="preserve"> </t>
    </r>
    <r>
      <rPr>
        <sz val="10"/>
        <rFont val="Verdana"/>
        <family val="2"/>
      </rPr>
      <t>= Total</t>
    </r>
    <r>
      <rPr>
        <vertAlign val="subscript"/>
        <sz val="10"/>
        <rFont val="Verdana"/>
        <family val="2"/>
      </rPr>
      <t xml:space="preserve">product,applic </t>
    </r>
    <r>
      <rPr>
        <sz val="10"/>
        <rFont val="Verdana"/>
        <family val="2"/>
      </rPr>
      <t>* f</t>
    </r>
    <r>
      <rPr>
        <vertAlign val="subscript"/>
        <sz val="10"/>
        <rFont val="Verdana"/>
        <family val="2"/>
      </rPr>
      <t xml:space="preserve">ai </t>
    </r>
    <r>
      <rPr>
        <sz val="10"/>
        <rFont val="Verdana"/>
        <family val="2"/>
      </rPr>
      <t>* RHO</t>
    </r>
    <r>
      <rPr>
        <vertAlign val="subscript"/>
        <sz val="10"/>
        <rFont val="Verdana"/>
        <family val="2"/>
      </rPr>
      <t xml:space="preserve">product </t>
    </r>
    <r>
      <rPr>
        <sz val="10"/>
        <rFont val="Verdana"/>
        <family val="2"/>
      </rPr>
      <t>* F</t>
    </r>
    <r>
      <rPr>
        <vertAlign val="subscript"/>
        <sz val="10"/>
        <rFont val="Verdana"/>
        <family val="2"/>
      </rPr>
      <t xml:space="preserve">applic </t>
    </r>
    <r>
      <rPr>
        <sz val="10"/>
        <rFont val="Verdana"/>
        <family val="2"/>
      </rPr>
      <t>* 10</t>
    </r>
    <r>
      <rPr>
        <vertAlign val="superscript"/>
        <sz val="10"/>
        <rFont val="Verdana"/>
        <family val="2"/>
      </rPr>
      <t xml:space="preserve">3 </t>
    </r>
    <r>
      <rPr>
        <sz val="10"/>
        <rFont val="Verdana"/>
        <family val="2"/>
      </rPr>
      <t>/ TIME</t>
    </r>
    <r>
      <rPr>
        <vertAlign val="subscript"/>
        <sz val="10"/>
        <rFont val="Verdana"/>
        <family val="2"/>
      </rPr>
      <t>applic</t>
    </r>
  </si>
  <si>
    <r>
      <t>Q</t>
    </r>
    <r>
      <rPr>
        <b/>
        <vertAlign val="subscript"/>
        <sz val="10"/>
        <rFont val="Verdana"/>
        <family val="2"/>
      </rPr>
      <t>foundation,soil</t>
    </r>
    <r>
      <rPr>
        <b/>
        <sz val="10"/>
        <rFont val="Verdana"/>
        <family val="2"/>
      </rPr>
      <t xml:space="preserve"> </t>
    </r>
    <r>
      <rPr>
        <sz val="10"/>
        <rFont val="Verdana"/>
        <family val="2"/>
      </rPr>
      <t>= Total</t>
    </r>
    <r>
      <rPr>
        <vertAlign val="subscript"/>
        <sz val="10"/>
        <rFont val="Verdana"/>
        <family val="2"/>
      </rPr>
      <t>product,applic</t>
    </r>
    <r>
      <rPr>
        <sz val="10"/>
        <rFont val="Verdana"/>
        <family val="2"/>
      </rPr>
      <t xml:space="preserve"> * f</t>
    </r>
    <r>
      <rPr>
        <vertAlign val="subscript"/>
        <sz val="10"/>
        <rFont val="Verdana"/>
        <family val="2"/>
      </rPr>
      <t>ai</t>
    </r>
    <r>
      <rPr>
        <sz val="10"/>
        <rFont val="Verdana"/>
        <family val="2"/>
      </rPr>
      <t xml:space="preserve"> * RHO</t>
    </r>
    <r>
      <rPr>
        <vertAlign val="subscript"/>
        <sz val="10"/>
        <rFont val="Verdana"/>
        <family val="2"/>
      </rPr>
      <t>product</t>
    </r>
    <r>
      <rPr>
        <sz val="10"/>
        <rFont val="Verdana"/>
        <family val="2"/>
      </rPr>
      <t xml:space="preserve"> * 10</t>
    </r>
    <r>
      <rPr>
        <vertAlign val="superscript"/>
        <sz val="10"/>
        <rFont val="Verdana"/>
        <family val="2"/>
      </rPr>
      <t>3</t>
    </r>
    <r>
      <rPr>
        <sz val="10"/>
        <rFont val="Verdana"/>
        <family val="2"/>
      </rPr>
      <t xml:space="preserve"> / TIME</t>
    </r>
    <r>
      <rPr>
        <vertAlign val="subscript"/>
        <sz val="10"/>
        <rFont val="Verdana"/>
        <family val="2"/>
      </rPr>
      <t>applic</t>
    </r>
  </si>
  <si>
    <r>
      <rPr>
        <b/>
        <sz val="10"/>
        <rFont val="Verdana"/>
        <family val="2"/>
      </rPr>
      <t>C</t>
    </r>
    <r>
      <rPr>
        <b/>
        <vertAlign val="subscript"/>
        <sz val="10"/>
        <rFont val="Verdana"/>
        <family val="2"/>
      </rPr>
      <t>foundation,soil</t>
    </r>
    <r>
      <rPr>
        <b/>
        <sz val="10"/>
        <rFont val="Verdana"/>
        <family val="2"/>
      </rPr>
      <t xml:space="preserve"> </t>
    </r>
    <r>
      <rPr>
        <sz val="10"/>
        <rFont val="Verdana"/>
        <family val="2"/>
      </rPr>
      <t>= Q</t>
    </r>
    <r>
      <rPr>
        <vertAlign val="subscript"/>
        <sz val="10"/>
        <rFont val="Verdana"/>
        <family val="2"/>
      </rPr>
      <t>foundation,soil</t>
    </r>
    <r>
      <rPr>
        <sz val="10"/>
        <rFont val="Verdana"/>
        <family val="2"/>
      </rPr>
      <t xml:space="preserve"> / (RHO</t>
    </r>
    <r>
      <rPr>
        <vertAlign val="subscript"/>
        <sz val="10"/>
        <rFont val="Verdana"/>
        <family val="2"/>
      </rPr>
      <t>soil</t>
    </r>
    <r>
      <rPr>
        <sz val="10"/>
        <rFont val="Verdana"/>
        <family val="2"/>
      </rPr>
      <t xml:space="preserve"> * VOLUME</t>
    </r>
    <r>
      <rPr>
        <vertAlign val="subscript"/>
        <sz val="10"/>
        <rFont val="Verdana"/>
        <family val="2"/>
      </rPr>
      <t>treated,soil,total</t>
    </r>
    <r>
      <rPr>
        <sz val="10"/>
        <rFont val="Verdana"/>
        <family val="2"/>
      </rPr>
      <t>)</t>
    </r>
  </si>
  <si>
    <r>
      <t>Total</t>
    </r>
    <r>
      <rPr>
        <b/>
        <vertAlign val="subscript"/>
        <sz val="10"/>
        <rFont val="Verdana"/>
        <family val="2"/>
      </rPr>
      <t>product,leach</t>
    </r>
    <r>
      <rPr>
        <b/>
        <sz val="10"/>
        <rFont val="Verdana"/>
        <family val="2"/>
      </rPr>
      <t xml:space="preserve"> </t>
    </r>
    <r>
      <rPr>
        <sz val="10"/>
        <rFont val="Verdana"/>
        <family val="2"/>
      </rPr>
      <t>= AREA</t>
    </r>
    <r>
      <rPr>
        <vertAlign val="subscript"/>
        <sz val="10"/>
        <rFont val="Verdana"/>
        <family val="2"/>
      </rPr>
      <t>treated perimeter</t>
    </r>
    <r>
      <rPr>
        <sz val="10"/>
        <rFont val="Verdana"/>
        <family val="2"/>
      </rPr>
      <t xml:space="preserve"> * QA*</t>
    </r>
    <r>
      <rPr>
        <vertAlign val="subscript"/>
        <sz val="10"/>
        <rFont val="Verdana"/>
        <family val="2"/>
      </rPr>
      <t>leach,time1</t>
    </r>
  </si>
  <si>
    <r>
      <t>Q</t>
    </r>
    <r>
      <rPr>
        <b/>
        <vertAlign val="subscript"/>
        <sz val="10"/>
        <rFont val="Verdana"/>
        <family val="2"/>
      </rPr>
      <t>adj</t>
    </r>
    <r>
      <rPr>
        <b/>
        <sz val="10"/>
        <rFont val="Verdana"/>
        <family val="2"/>
      </rPr>
      <t xml:space="preserve">house,soil = </t>
    </r>
    <r>
      <rPr>
        <sz val="10"/>
        <rFont val="Verdana"/>
        <family val="2"/>
      </rPr>
      <t>Total</t>
    </r>
    <r>
      <rPr>
        <vertAlign val="subscript"/>
        <sz val="10"/>
        <rFont val="Verdana"/>
        <family val="2"/>
      </rPr>
      <t>product,leach</t>
    </r>
    <r>
      <rPr>
        <sz val="10"/>
        <rFont val="Verdana"/>
        <family val="2"/>
      </rPr>
      <t xml:space="preserve"> * f</t>
    </r>
    <r>
      <rPr>
        <vertAlign val="subscript"/>
        <sz val="10"/>
        <rFont val="Verdana"/>
        <family val="2"/>
      </rPr>
      <t>ai</t>
    </r>
    <r>
      <rPr>
        <sz val="10"/>
        <rFont val="Verdana"/>
        <family val="2"/>
      </rPr>
      <t xml:space="preserve"> *RHO</t>
    </r>
    <r>
      <rPr>
        <vertAlign val="subscript"/>
        <sz val="10"/>
        <rFont val="Verdana"/>
        <family val="2"/>
      </rPr>
      <t>product</t>
    </r>
    <r>
      <rPr>
        <sz val="10"/>
        <rFont val="Verdana"/>
        <family val="2"/>
      </rPr>
      <t xml:space="preserve"> *10</t>
    </r>
    <r>
      <rPr>
        <vertAlign val="superscript"/>
        <sz val="10"/>
        <rFont val="Verdana"/>
        <family val="2"/>
      </rPr>
      <t>3</t>
    </r>
  </si>
  <si>
    <r>
      <t>C</t>
    </r>
    <r>
      <rPr>
        <b/>
        <vertAlign val="subscript"/>
        <sz val="10"/>
        <rFont val="Verdana"/>
        <family val="2"/>
      </rPr>
      <t>adj</t>
    </r>
    <r>
      <rPr>
        <b/>
        <sz val="10"/>
        <rFont val="Verdana"/>
        <family val="2"/>
      </rPr>
      <t xml:space="preserve">house,soil </t>
    </r>
    <r>
      <rPr>
        <sz val="10"/>
        <rFont val="Verdana"/>
        <family val="2"/>
      </rPr>
      <t>= Q</t>
    </r>
    <r>
      <rPr>
        <vertAlign val="subscript"/>
        <sz val="10"/>
        <rFont val="Verdana"/>
        <family val="2"/>
      </rPr>
      <t>adj</t>
    </r>
    <r>
      <rPr>
        <sz val="10"/>
        <rFont val="Verdana"/>
        <family val="2"/>
      </rPr>
      <t>house,soil * F</t>
    </r>
    <r>
      <rPr>
        <vertAlign val="subscript"/>
        <sz val="10"/>
        <rFont val="Verdana"/>
        <family val="2"/>
      </rPr>
      <t>run-off</t>
    </r>
    <r>
      <rPr>
        <sz val="10"/>
        <rFont val="Verdana"/>
        <family val="2"/>
      </rPr>
      <t xml:space="preserve"> * F</t>
    </r>
    <r>
      <rPr>
        <vertAlign val="subscript"/>
        <sz val="10"/>
        <rFont val="Verdana"/>
        <family val="2"/>
      </rPr>
      <t>Koc</t>
    </r>
    <r>
      <rPr>
        <sz val="10"/>
        <rFont val="Verdana"/>
        <family val="2"/>
      </rPr>
      <t xml:space="preserve"> / (RHO</t>
    </r>
    <r>
      <rPr>
        <vertAlign val="subscript"/>
        <sz val="10"/>
        <rFont val="Verdana"/>
        <family val="2"/>
      </rPr>
      <t>soil</t>
    </r>
    <r>
      <rPr>
        <sz val="10"/>
        <rFont val="Verdana"/>
        <family val="2"/>
      </rPr>
      <t xml:space="preserve"> * VOLUME</t>
    </r>
    <r>
      <rPr>
        <vertAlign val="subscript"/>
        <sz val="10"/>
        <rFont val="Verdana"/>
        <family val="2"/>
      </rPr>
      <t>adj</t>
    </r>
    <r>
      <rPr>
        <sz val="10"/>
        <rFont val="Verdana"/>
        <family val="2"/>
      </rPr>
      <t>house,soil)</t>
    </r>
  </si>
  <si>
    <r>
      <t>E</t>
    </r>
    <r>
      <rPr>
        <b/>
        <vertAlign val="subscript"/>
        <sz val="10"/>
        <rFont val="Verdana"/>
        <family val="2"/>
      </rPr>
      <t>atm,trench</t>
    </r>
    <r>
      <rPr>
        <b/>
        <sz val="10"/>
        <rFont val="Verdana"/>
        <family val="2"/>
      </rPr>
      <t xml:space="preserve"> </t>
    </r>
    <r>
      <rPr>
        <sz val="10"/>
        <rFont val="Verdana"/>
        <family val="2"/>
      </rPr>
      <t>= Total</t>
    </r>
    <r>
      <rPr>
        <vertAlign val="subscript"/>
        <sz val="10"/>
        <rFont val="Verdana"/>
        <family val="2"/>
      </rPr>
      <t>product,applic</t>
    </r>
    <r>
      <rPr>
        <sz val="10"/>
        <rFont val="Verdana"/>
        <family val="2"/>
      </rPr>
      <t xml:space="preserve"> * f</t>
    </r>
    <r>
      <rPr>
        <vertAlign val="subscript"/>
        <sz val="10"/>
        <rFont val="Verdana"/>
        <family val="2"/>
      </rPr>
      <t>ai</t>
    </r>
    <r>
      <rPr>
        <sz val="10"/>
        <rFont val="Verdana"/>
        <family val="2"/>
      </rPr>
      <t xml:space="preserve"> * RHO</t>
    </r>
    <r>
      <rPr>
        <vertAlign val="subscript"/>
        <sz val="10"/>
        <rFont val="Verdana"/>
        <family val="2"/>
      </rPr>
      <t>product</t>
    </r>
    <r>
      <rPr>
        <sz val="10"/>
        <rFont val="Verdana"/>
        <family val="2"/>
      </rPr>
      <t xml:space="preserve"> * F</t>
    </r>
    <r>
      <rPr>
        <vertAlign val="subscript"/>
        <sz val="10"/>
        <rFont val="Verdana"/>
        <family val="2"/>
      </rPr>
      <t>applic</t>
    </r>
    <r>
      <rPr>
        <sz val="10"/>
        <rFont val="Verdana"/>
        <family val="2"/>
      </rPr>
      <t xml:space="preserve"> * 10</t>
    </r>
    <r>
      <rPr>
        <vertAlign val="superscript"/>
        <sz val="10"/>
        <rFont val="Verdana"/>
        <family val="2"/>
      </rPr>
      <t>3</t>
    </r>
    <r>
      <rPr>
        <sz val="10"/>
        <rFont val="Verdana"/>
        <family val="2"/>
      </rPr>
      <t xml:space="preserve"> / TIME</t>
    </r>
  </si>
  <si>
    <r>
      <t>Q</t>
    </r>
    <r>
      <rPr>
        <b/>
        <vertAlign val="subscript"/>
        <sz val="10"/>
        <rFont val="Verdana"/>
        <family val="2"/>
      </rPr>
      <t>trench,soil</t>
    </r>
    <r>
      <rPr>
        <b/>
        <sz val="10"/>
        <rFont val="Verdana"/>
        <family val="2"/>
      </rPr>
      <t xml:space="preserve"> </t>
    </r>
    <r>
      <rPr>
        <sz val="10"/>
        <rFont val="Verdana"/>
        <family val="2"/>
      </rPr>
      <t>= Total</t>
    </r>
    <r>
      <rPr>
        <vertAlign val="subscript"/>
        <sz val="10"/>
        <rFont val="Verdana"/>
        <family val="2"/>
      </rPr>
      <t>product,applic</t>
    </r>
    <r>
      <rPr>
        <sz val="10"/>
        <rFont val="Verdana"/>
        <family val="2"/>
      </rPr>
      <t xml:space="preserve"> * f</t>
    </r>
    <r>
      <rPr>
        <vertAlign val="subscript"/>
        <sz val="10"/>
        <rFont val="Verdana"/>
        <family val="2"/>
      </rPr>
      <t>ai</t>
    </r>
    <r>
      <rPr>
        <sz val="10"/>
        <rFont val="Verdana"/>
        <family val="2"/>
      </rPr>
      <t xml:space="preserve"> * RHO</t>
    </r>
    <r>
      <rPr>
        <vertAlign val="subscript"/>
        <sz val="10"/>
        <rFont val="Verdana"/>
        <family val="2"/>
      </rPr>
      <t>product</t>
    </r>
    <r>
      <rPr>
        <sz val="10"/>
        <rFont val="Verdana"/>
        <family val="2"/>
      </rPr>
      <t xml:space="preserve"> * 10</t>
    </r>
    <r>
      <rPr>
        <vertAlign val="superscript"/>
        <sz val="10"/>
        <rFont val="Verdana"/>
        <family val="2"/>
      </rPr>
      <t>3</t>
    </r>
    <r>
      <rPr>
        <sz val="10"/>
        <rFont val="Verdana"/>
        <family val="2"/>
      </rPr>
      <t xml:space="preserve"> / TIME</t>
    </r>
  </si>
  <si>
    <r>
      <rPr>
        <b/>
        <sz val="10"/>
        <rFont val="Verdana"/>
        <family val="2"/>
      </rPr>
      <t>C</t>
    </r>
    <r>
      <rPr>
        <b/>
        <vertAlign val="subscript"/>
        <sz val="10"/>
        <rFont val="Verdana"/>
        <family val="2"/>
      </rPr>
      <t>trench,soil</t>
    </r>
    <r>
      <rPr>
        <b/>
        <sz val="10"/>
        <rFont val="Verdana"/>
        <family val="2"/>
      </rPr>
      <t xml:space="preserve"> </t>
    </r>
    <r>
      <rPr>
        <sz val="10"/>
        <rFont val="Verdana"/>
        <family val="2"/>
      </rPr>
      <t>= Q</t>
    </r>
    <r>
      <rPr>
        <vertAlign val="subscript"/>
        <sz val="10"/>
        <rFont val="Verdana"/>
        <family val="2"/>
      </rPr>
      <t>trench,soil</t>
    </r>
    <r>
      <rPr>
        <sz val="10"/>
        <rFont val="Verdana"/>
        <family val="2"/>
      </rPr>
      <t xml:space="preserve"> / (RHO</t>
    </r>
    <r>
      <rPr>
        <vertAlign val="subscript"/>
        <sz val="10"/>
        <rFont val="Verdana"/>
        <family val="2"/>
      </rPr>
      <t>soil</t>
    </r>
    <r>
      <rPr>
        <sz val="10"/>
        <rFont val="Verdana"/>
        <family val="2"/>
      </rPr>
      <t xml:space="preserve"> * Volume</t>
    </r>
    <r>
      <rPr>
        <vertAlign val="subscript"/>
        <sz val="10"/>
        <rFont val="Verdana"/>
        <family val="2"/>
      </rPr>
      <t>treated_soil_total</t>
    </r>
    <r>
      <rPr>
        <sz val="10"/>
        <rFont val="Verdana"/>
        <family val="2"/>
      </rPr>
      <t>)</t>
    </r>
  </si>
  <si>
    <r>
      <t>Total</t>
    </r>
    <r>
      <rPr>
        <b/>
        <vertAlign val="subscript"/>
        <sz val="10"/>
        <rFont val="Verdana"/>
        <family val="2"/>
      </rPr>
      <t>product,leach</t>
    </r>
    <r>
      <rPr>
        <b/>
        <sz val="10"/>
        <rFont val="Verdana"/>
        <family val="2"/>
      </rPr>
      <t xml:space="preserve"> </t>
    </r>
    <r>
      <rPr>
        <sz val="10"/>
        <rFont val="Verdana"/>
        <family val="2"/>
      </rPr>
      <t>= (AREA</t>
    </r>
    <r>
      <rPr>
        <vertAlign val="subscript"/>
        <sz val="10"/>
        <rFont val="Verdana"/>
        <family val="2"/>
      </rPr>
      <t>treated trench</t>
    </r>
    <r>
      <rPr>
        <sz val="10"/>
        <rFont val="Verdana"/>
        <family val="2"/>
      </rPr>
      <t xml:space="preserve"> *QA*</t>
    </r>
    <r>
      <rPr>
        <vertAlign val="subscript"/>
        <sz val="10"/>
        <rFont val="Verdana"/>
        <family val="2"/>
      </rPr>
      <t>leach,time1</t>
    </r>
    <r>
      <rPr>
        <sz val="10"/>
        <rFont val="Verdana"/>
        <family val="2"/>
      </rPr>
      <t>) + (VOLUME</t>
    </r>
    <r>
      <rPr>
        <vertAlign val="subscript"/>
        <sz val="10"/>
        <rFont val="Verdana"/>
        <family val="2"/>
      </rPr>
      <t>treated trench</t>
    </r>
    <r>
      <rPr>
        <sz val="10"/>
        <rFont val="Verdana"/>
        <family val="2"/>
      </rPr>
      <t xml:space="preserve"> * QV*</t>
    </r>
    <r>
      <rPr>
        <vertAlign val="subscript"/>
        <sz val="10"/>
        <rFont val="Verdana"/>
        <family val="2"/>
      </rPr>
      <t>leach,time1</t>
    </r>
    <r>
      <rPr>
        <sz val="10"/>
        <rFont val="Verdana"/>
        <family val="2"/>
      </rPr>
      <t>)</t>
    </r>
  </si>
  <si>
    <r>
      <t>Q</t>
    </r>
    <r>
      <rPr>
        <b/>
        <vertAlign val="subscript"/>
        <sz val="10"/>
        <rFont val="Verdana"/>
        <family val="2"/>
      </rPr>
      <t>adj</t>
    </r>
    <r>
      <rPr>
        <b/>
        <sz val="10"/>
        <rFont val="Verdana"/>
        <family val="2"/>
      </rPr>
      <t xml:space="preserve">trench,soil = </t>
    </r>
    <r>
      <rPr>
        <sz val="10"/>
        <rFont val="Verdana"/>
        <family val="2"/>
      </rPr>
      <t>Total</t>
    </r>
    <r>
      <rPr>
        <vertAlign val="subscript"/>
        <sz val="10"/>
        <rFont val="Verdana"/>
        <family val="2"/>
      </rPr>
      <t>product,leach</t>
    </r>
    <r>
      <rPr>
        <sz val="10"/>
        <rFont val="Verdana"/>
        <family val="2"/>
      </rPr>
      <t xml:space="preserve"> * f</t>
    </r>
    <r>
      <rPr>
        <vertAlign val="subscript"/>
        <sz val="10"/>
        <rFont val="Verdana"/>
        <family val="2"/>
      </rPr>
      <t>ai</t>
    </r>
    <r>
      <rPr>
        <sz val="10"/>
        <rFont val="Verdana"/>
        <family val="2"/>
      </rPr>
      <t xml:space="preserve"> *RHO</t>
    </r>
    <r>
      <rPr>
        <vertAlign val="subscript"/>
        <sz val="10"/>
        <rFont val="Verdana"/>
        <family val="2"/>
      </rPr>
      <t>product</t>
    </r>
    <r>
      <rPr>
        <sz val="10"/>
        <rFont val="Verdana"/>
        <family val="2"/>
      </rPr>
      <t xml:space="preserve"> *10</t>
    </r>
    <r>
      <rPr>
        <vertAlign val="superscript"/>
        <sz val="10"/>
        <rFont val="Verdana"/>
        <family val="2"/>
      </rPr>
      <t>3</t>
    </r>
  </si>
  <si>
    <r>
      <t>C</t>
    </r>
    <r>
      <rPr>
        <b/>
        <vertAlign val="subscript"/>
        <sz val="10"/>
        <rFont val="Verdana"/>
        <family val="2"/>
      </rPr>
      <t>adj</t>
    </r>
    <r>
      <rPr>
        <b/>
        <sz val="10"/>
        <rFont val="Verdana"/>
        <family val="2"/>
      </rPr>
      <t xml:space="preserve">trench soil </t>
    </r>
    <r>
      <rPr>
        <sz val="10"/>
        <rFont val="Verdana"/>
        <family val="2"/>
      </rPr>
      <t>= Q</t>
    </r>
    <r>
      <rPr>
        <vertAlign val="subscript"/>
        <sz val="10"/>
        <rFont val="Verdana"/>
        <family val="2"/>
      </rPr>
      <t>adj</t>
    </r>
    <r>
      <rPr>
        <sz val="10"/>
        <rFont val="Verdana"/>
        <family val="2"/>
      </rPr>
      <t>trench soil * F</t>
    </r>
    <r>
      <rPr>
        <vertAlign val="subscript"/>
        <sz val="10"/>
        <rFont val="Verdana"/>
        <family val="2"/>
      </rPr>
      <t>run-off</t>
    </r>
    <r>
      <rPr>
        <sz val="10"/>
        <rFont val="Verdana"/>
        <family val="2"/>
      </rPr>
      <t xml:space="preserve"> * F</t>
    </r>
    <r>
      <rPr>
        <vertAlign val="subscript"/>
        <sz val="10"/>
        <rFont val="Verdana"/>
        <family val="2"/>
      </rPr>
      <t>Koc</t>
    </r>
    <r>
      <rPr>
        <sz val="10"/>
        <rFont val="Verdana"/>
        <family val="2"/>
      </rPr>
      <t xml:space="preserve"> / (RHO</t>
    </r>
    <r>
      <rPr>
        <vertAlign val="subscript"/>
        <sz val="10"/>
        <rFont val="Verdana"/>
        <family val="2"/>
      </rPr>
      <t>soil</t>
    </r>
    <r>
      <rPr>
        <sz val="10"/>
        <rFont val="Verdana"/>
        <family val="2"/>
      </rPr>
      <t xml:space="preserve"> * VOLUME</t>
    </r>
    <r>
      <rPr>
        <vertAlign val="subscript"/>
        <sz val="10"/>
        <rFont val="Verdana"/>
        <family val="2"/>
      </rPr>
      <t>adj</t>
    </r>
    <r>
      <rPr>
        <sz val="10"/>
        <rFont val="Verdana"/>
        <family val="2"/>
      </rPr>
      <t>trench,soil)</t>
    </r>
  </si>
  <si>
    <r>
      <t>E</t>
    </r>
    <r>
      <rPr>
        <b/>
        <vertAlign val="subscript"/>
        <sz val="10"/>
        <rFont val="Verdana"/>
        <family val="2"/>
      </rPr>
      <t>soil,runoff</t>
    </r>
    <r>
      <rPr>
        <b/>
        <sz val="10"/>
        <rFont val="Verdana"/>
        <family val="2"/>
      </rPr>
      <t xml:space="preserve"> </t>
    </r>
    <r>
      <rPr>
        <sz val="10"/>
        <rFont val="Verdana"/>
        <family val="2"/>
      </rPr>
      <t>= AREA</t>
    </r>
    <r>
      <rPr>
        <vertAlign val="subscript"/>
        <sz val="10"/>
        <rFont val="Verdana"/>
        <family val="2"/>
      </rPr>
      <t>house</t>
    </r>
    <r>
      <rPr>
        <sz val="10"/>
        <rFont val="Verdana"/>
        <family val="2"/>
      </rPr>
      <t xml:space="preserve"> * Q</t>
    </r>
    <r>
      <rPr>
        <vertAlign val="subscript"/>
        <sz val="10"/>
        <rFont val="Verdana"/>
        <family val="2"/>
      </rPr>
      <t>applic,product</t>
    </r>
    <r>
      <rPr>
        <sz val="10"/>
        <rFont val="Verdana"/>
        <family val="2"/>
      </rPr>
      <t xml:space="preserve"> * f</t>
    </r>
    <r>
      <rPr>
        <vertAlign val="subscript"/>
        <sz val="10"/>
        <rFont val="Verdana"/>
        <family val="2"/>
      </rPr>
      <t>ai</t>
    </r>
    <r>
      <rPr>
        <sz val="10"/>
        <rFont val="Verdana"/>
        <family val="2"/>
      </rPr>
      <t xml:space="preserve"> * RHO</t>
    </r>
    <r>
      <rPr>
        <vertAlign val="subscript"/>
        <sz val="10"/>
        <rFont val="Verdana"/>
        <family val="2"/>
      </rPr>
      <t>product</t>
    </r>
    <r>
      <rPr>
        <sz val="10"/>
        <rFont val="Verdana"/>
        <family val="2"/>
      </rPr>
      <t xml:space="preserve"> * F</t>
    </r>
    <r>
      <rPr>
        <vertAlign val="subscript"/>
        <sz val="10"/>
        <rFont val="Verdana"/>
        <family val="2"/>
      </rPr>
      <t>runoff</t>
    </r>
    <r>
      <rPr>
        <sz val="10"/>
        <rFont val="Verdana"/>
        <family val="2"/>
      </rPr>
      <t xml:space="preserve"> *10</t>
    </r>
    <r>
      <rPr>
        <vertAlign val="superscript"/>
        <sz val="10"/>
        <rFont val="Verdana"/>
        <family val="2"/>
      </rPr>
      <t>3</t>
    </r>
  </si>
  <si>
    <r>
      <t>E</t>
    </r>
    <r>
      <rPr>
        <b/>
        <vertAlign val="subscript"/>
        <sz val="10"/>
        <rFont val="Verdana"/>
        <family val="2"/>
      </rPr>
      <t>soil,spray_drift,tier1</t>
    </r>
    <r>
      <rPr>
        <b/>
        <sz val="10"/>
        <rFont val="Verdana"/>
        <family val="2"/>
      </rPr>
      <t xml:space="preserve"> </t>
    </r>
    <r>
      <rPr>
        <sz val="10"/>
        <rFont val="Verdana"/>
        <family val="2"/>
      </rPr>
      <t>= AREA</t>
    </r>
    <r>
      <rPr>
        <vertAlign val="subscript"/>
        <sz val="10"/>
        <rFont val="Verdana"/>
        <family val="2"/>
      </rPr>
      <t>house</t>
    </r>
    <r>
      <rPr>
        <sz val="10"/>
        <rFont val="Verdana"/>
        <family val="2"/>
      </rPr>
      <t xml:space="preserve"> * Q</t>
    </r>
    <r>
      <rPr>
        <vertAlign val="subscript"/>
        <sz val="10"/>
        <rFont val="Verdana"/>
        <family val="2"/>
      </rPr>
      <t>applic,product</t>
    </r>
    <r>
      <rPr>
        <sz val="10"/>
        <rFont val="Verdana"/>
        <family val="2"/>
      </rPr>
      <t xml:space="preserve"> * f</t>
    </r>
    <r>
      <rPr>
        <vertAlign val="subscript"/>
        <sz val="10"/>
        <rFont val="Verdana"/>
        <family val="2"/>
      </rPr>
      <t>ai</t>
    </r>
    <r>
      <rPr>
        <sz val="10"/>
        <rFont val="Verdana"/>
        <family val="2"/>
      </rPr>
      <t xml:space="preserve"> * RHO</t>
    </r>
    <r>
      <rPr>
        <vertAlign val="subscript"/>
        <sz val="10"/>
        <rFont val="Verdana"/>
        <family val="2"/>
      </rPr>
      <t>product</t>
    </r>
    <r>
      <rPr>
        <sz val="10"/>
        <rFont val="Verdana"/>
        <family val="2"/>
      </rPr>
      <t xml:space="preserve"> * F</t>
    </r>
    <r>
      <rPr>
        <vertAlign val="subscript"/>
        <sz val="10"/>
        <rFont val="Verdana"/>
        <family val="2"/>
      </rPr>
      <t>drift</t>
    </r>
    <r>
      <rPr>
        <sz val="10"/>
        <rFont val="Verdana"/>
        <family val="2"/>
      </rPr>
      <t xml:space="preserve"> * 10</t>
    </r>
    <r>
      <rPr>
        <vertAlign val="superscript"/>
        <sz val="10"/>
        <rFont val="Verdana"/>
        <family val="2"/>
      </rPr>
      <t>3</t>
    </r>
  </si>
  <si>
    <r>
      <t>E</t>
    </r>
    <r>
      <rPr>
        <b/>
        <vertAlign val="subscript"/>
        <sz val="10"/>
        <rFont val="Verdana"/>
        <family val="2"/>
      </rPr>
      <t>soil,spray_drift,tier2</t>
    </r>
    <r>
      <rPr>
        <b/>
        <sz val="10"/>
        <rFont val="Verdana"/>
        <family val="2"/>
      </rPr>
      <t xml:space="preserve"> </t>
    </r>
    <r>
      <rPr>
        <sz val="10"/>
        <rFont val="Verdana"/>
        <family val="2"/>
      </rPr>
      <t>= AREA</t>
    </r>
    <r>
      <rPr>
        <vertAlign val="subscript"/>
        <sz val="10"/>
        <rFont val="Verdana"/>
        <family val="2"/>
      </rPr>
      <t>house</t>
    </r>
    <r>
      <rPr>
        <sz val="10"/>
        <rFont val="Verdana"/>
        <family val="2"/>
      </rPr>
      <t xml:space="preserve"> * Q</t>
    </r>
    <r>
      <rPr>
        <vertAlign val="subscript"/>
        <sz val="10"/>
        <rFont val="Verdana"/>
        <family val="2"/>
      </rPr>
      <t>applic,product</t>
    </r>
    <r>
      <rPr>
        <sz val="10"/>
        <rFont val="Verdana"/>
        <family val="2"/>
      </rPr>
      <t xml:space="preserve"> * f</t>
    </r>
    <r>
      <rPr>
        <vertAlign val="subscript"/>
        <sz val="10"/>
        <rFont val="Verdana"/>
        <family val="2"/>
      </rPr>
      <t>ai</t>
    </r>
    <r>
      <rPr>
        <sz val="10"/>
        <rFont val="Verdana"/>
        <family val="2"/>
      </rPr>
      <t xml:space="preserve"> * RHO</t>
    </r>
    <r>
      <rPr>
        <vertAlign val="subscript"/>
        <sz val="10"/>
        <rFont val="Verdana"/>
        <family val="2"/>
      </rPr>
      <t>product</t>
    </r>
    <r>
      <rPr>
        <sz val="10"/>
        <rFont val="Verdana"/>
        <family val="2"/>
      </rPr>
      <t xml:space="preserve"> * F</t>
    </r>
    <r>
      <rPr>
        <vertAlign val="subscript"/>
        <sz val="10"/>
        <rFont val="Verdana"/>
        <family val="2"/>
      </rPr>
      <t>drift</t>
    </r>
    <r>
      <rPr>
        <sz val="10"/>
        <rFont val="Verdana"/>
        <family val="2"/>
      </rPr>
      <t xml:space="preserve"> * 10</t>
    </r>
    <r>
      <rPr>
        <vertAlign val="superscript"/>
        <sz val="10"/>
        <rFont val="Verdana"/>
        <family val="2"/>
      </rPr>
      <t xml:space="preserve">3 </t>
    </r>
    <r>
      <rPr>
        <sz val="10"/>
        <rFont val="Verdana"/>
        <family val="2"/>
      </rPr>
      <t>* F</t>
    </r>
    <r>
      <rPr>
        <vertAlign val="subscript"/>
        <sz val="10"/>
        <rFont val="Verdana"/>
        <family val="2"/>
      </rPr>
      <t>dep</t>
    </r>
  </si>
  <si>
    <r>
      <rPr>
        <b/>
        <sz val="10"/>
        <rFont val="Verdana"/>
        <family val="2"/>
      </rPr>
      <t>Clocal</t>
    </r>
    <r>
      <rPr>
        <b/>
        <vertAlign val="subscript"/>
        <sz val="10"/>
        <rFont val="Verdana"/>
        <family val="2"/>
      </rPr>
      <t>soil,runoff</t>
    </r>
    <r>
      <rPr>
        <b/>
        <sz val="10"/>
        <rFont val="Verdana"/>
        <family val="2"/>
      </rPr>
      <t xml:space="preserve"> </t>
    </r>
    <r>
      <rPr>
        <sz val="10"/>
        <rFont val="Verdana"/>
        <family val="2"/>
      </rPr>
      <t>= E</t>
    </r>
    <r>
      <rPr>
        <vertAlign val="subscript"/>
        <sz val="10"/>
        <rFont val="Verdana"/>
        <family val="2"/>
      </rPr>
      <t xml:space="preserve">soil,runoff </t>
    </r>
    <r>
      <rPr>
        <sz val="10"/>
        <rFont val="Verdana"/>
        <family val="2"/>
      </rPr>
      <t>/ (V</t>
    </r>
    <r>
      <rPr>
        <vertAlign val="subscript"/>
        <sz val="10"/>
        <rFont val="Verdana"/>
        <family val="2"/>
      </rPr>
      <t xml:space="preserve">soil,runoff </t>
    </r>
    <r>
      <rPr>
        <sz val="10"/>
        <rFont val="Verdana"/>
        <family val="2"/>
      </rPr>
      <t>or V</t>
    </r>
    <r>
      <rPr>
        <vertAlign val="subscript"/>
        <sz val="10"/>
        <rFont val="Verdana"/>
        <family val="2"/>
      </rPr>
      <t>soil,drift-tier1</t>
    </r>
    <r>
      <rPr>
        <sz val="10"/>
        <rFont val="Verdana"/>
        <family val="2"/>
      </rPr>
      <t xml:space="preserve"> * RHO</t>
    </r>
    <r>
      <rPr>
        <vertAlign val="subscript"/>
        <sz val="10"/>
        <rFont val="Verdana"/>
        <family val="2"/>
      </rPr>
      <t>soil</t>
    </r>
    <r>
      <rPr>
        <sz val="10"/>
        <rFont val="Verdana"/>
        <family val="2"/>
      </rPr>
      <t>)</t>
    </r>
  </si>
  <si>
    <r>
      <rPr>
        <b/>
        <sz val="10"/>
        <rFont val="Verdana"/>
        <family val="2"/>
      </rPr>
      <t>Clocal</t>
    </r>
    <r>
      <rPr>
        <b/>
        <vertAlign val="subscript"/>
        <sz val="10"/>
        <rFont val="Verdana"/>
        <family val="2"/>
      </rPr>
      <t>soil,spray_drift,tier1</t>
    </r>
    <r>
      <rPr>
        <sz val="10"/>
        <rFont val="Verdana"/>
        <family val="2"/>
      </rPr>
      <t xml:space="preserve"> = E</t>
    </r>
    <r>
      <rPr>
        <vertAlign val="subscript"/>
        <sz val="10"/>
        <rFont val="Verdana"/>
        <family val="2"/>
      </rPr>
      <t xml:space="preserve">soil,spray_drift,tier1 </t>
    </r>
    <r>
      <rPr>
        <sz val="10"/>
        <rFont val="Verdana"/>
        <family val="2"/>
      </rPr>
      <t>/ (V</t>
    </r>
    <r>
      <rPr>
        <vertAlign val="subscript"/>
        <sz val="10"/>
        <rFont val="Verdana"/>
        <family val="2"/>
      </rPr>
      <t>soil,drift-tier1</t>
    </r>
    <r>
      <rPr>
        <sz val="10"/>
        <rFont val="Verdana"/>
        <family val="2"/>
      </rPr>
      <t xml:space="preserve"> * RHO</t>
    </r>
    <r>
      <rPr>
        <vertAlign val="subscript"/>
        <sz val="10"/>
        <rFont val="Verdana"/>
        <family val="2"/>
      </rPr>
      <t>soil</t>
    </r>
    <r>
      <rPr>
        <sz val="10"/>
        <rFont val="Verdana"/>
        <family val="2"/>
      </rPr>
      <t>)</t>
    </r>
  </si>
  <si>
    <r>
      <rPr>
        <b/>
        <sz val="10"/>
        <rFont val="Verdana"/>
        <family val="2"/>
      </rPr>
      <t>Clocal</t>
    </r>
    <r>
      <rPr>
        <b/>
        <vertAlign val="subscript"/>
        <sz val="10"/>
        <rFont val="Verdana"/>
        <family val="2"/>
      </rPr>
      <t>soil,spray_drift,tier2</t>
    </r>
    <r>
      <rPr>
        <sz val="10"/>
        <rFont val="Verdana"/>
        <family val="2"/>
      </rPr>
      <t xml:space="preserve"> = E</t>
    </r>
    <r>
      <rPr>
        <vertAlign val="subscript"/>
        <sz val="10"/>
        <rFont val="Verdana"/>
        <family val="2"/>
      </rPr>
      <t xml:space="preserve">soil,spray_drift,tier2 </t>
    </r>
    <r>
      <rPr>
        <sz val="10"/>
        <rFont val="Verdana"/>
        <family val="2"/>
      </rPr>
      <t>/ (V</t>
    </r>
    <r>
      <rPr>
        <vertAlign val="subscript"/>
        <sz val="10"/>
        <rFont val="Verdana"/>
        <family val="2"/>
      </rPr>
      <t>soil,drift-tier2</t>
    </r>
    <r>
      <rPr>
        <sz val="10"/>
        <rFont val="Verdana"/>
        <family val="2"/>
      </rPr>
      <t xml:space="preserve"> * RHO</t>
    </r>
    <r>
      <rPr>
        <vertAlign val="subscript"/>
        <sz val="10"/>
        <rFont val="Verdana"/>
        <family val="2"/>
      </rPr>
      <t>soil</t>
    </r>
    <r>
      <rPr>
        <sz val="10"/>
        <rFont val="Verdana"/>
        <family val="2"/>
      </rPr>
      <t>)</t>
    </r>
  </si>
  <si>
    <r>
      <rPr>
        <b/>
        <sz val="10"/>
        <rFont val="Verdana"/>
        <family val="2"/>
      </rPr>
      <t>Clocal</t>
    </r>
    <r>
      <rPr>
        <b/>
        <vertAlign val="subscript"/>
        <sz val="10"/>
        <rFont val="Verdana"/>
        <family val="2"/>
      </rPr>
      <t>soil,applic_tier1</t>
    </r>
    <r>
      <rPr>
        <b/>
        <sz val="10"/>
        <rFont val="Verdana"/>
        <family val="2"/>
      </rPr>
      <t xml:space="preserve"> </t>
    </r>
    <r>
      <rPr>
        <sz val="10"/>
        <rFont val="Verdana"/>
        <family val="2"/>
      </rPr>
      <t>= Clocal</t>
    </r>
    <r>
      <rPr>
        <vertAlign val="subscript"/>
        <sz val="10"/>
        <rFont val="Verdana"/>
        <family val="2"/>
      </rPr>
      <t>soil,runoff</t>
    </r>
    <r>
      <rPr>
        <sz val="10"/>
        <rFont val="Verdana"/>
        <family val="2"/>
      </rPr>
      <t xml:space="preserve"> + Clocal</t>
    </r>
    <r>
      <rPr>
        <vertAlign val="subscript"/>
        <sz val="10"/>
        <rFont val="Verdana"/>
        <family val="2"/>
      </rPr>
      <t>soil,spray_drift,tier1</t>
    </r>
  </si>
  <si>
    <r>
      <rPr>
        <b/>
        <sz val="10"/>
        <rFont val="Verdana"/>
        <family val="2"/>
      </rPr>
      <t>Clocal</t>
    </r>
    <r>
      <rPr>
        <b/>
        <vertAlign val="subscript"/>
        <sz val="10"/>
        <rFont val="Verdana"/>
        <family val="2"/>
      </rPr>
      <t>soil,applic_tier2</t>
    </r>
    <r>
      <rPr>
        <b/>
        <sz val="10"/>
        <rFont val="Verdana"/>
        <family val="2"/>
      </rPr>
      <t xml:space="preserve"> </t>
    </r>
    <r>
      <rPr>
        <sz val="10"/>
        <rFont val="Verdana"/>
        <family val="2"/>
      </rPr>
      <t>= Clocal</t>
    </r>
    <r>
      <rPr>
        <vertAlign val="subscript"/>
        <sz val="10"/>
        <rFont val="Verdana"/>
        <family val="2"/>
      </rPr>
      <t>soil,spray_drift,tier2</t>
    </r>
  </si>
  <si>
    <r>
      <t>Q</t>
    </r>
    <r>
      <rPr>
        <b/>
        <vertAlign val="subscript"/>
        <sz val="10"/>
        <rFont val="Verdana"/>
        <family val="2"/>
      </rPr>
      <t>leach,TIME1</t>
    </r>
    <r>
      <rPr>
        <b/>
        <sz val="10"/>
        <rFont val="Verdana"/>
        <family val="2"/>
      </rPr>
      <t xml:space="preserve"> </t>
    </r>
    <r>
      <rPr>
        <sz val="10"/>
        <rFont val="Verdana"/>
        <family val="2"/>
      </rPr>
      <t>= AREA</t>
    </r>
    <r>
      <rPr>
        <vertAlign val="subscript"/>
        <sz val="10"/>
        <rFont val="Verdana"/>
        <family val="2"/>
      </rPr>
      <t>house_leachable</t>
    </r>
    <r>
      <rPr>
        <sz val="10"/>
        <rFont val="Verdana"/>
        <family val="2"/>
      </rPr>
      <t>* Q</t>
    </r>
    <r>
      <rPr>
        <vertAlign val="superscript"/>
        <sz val="10"/>
        <rFont val="Verdana"/>
        <family val="2"/>
      </rPr>
      <t>*</t>
    </r>
    <r>
      <rPr>
        <vertAlign val="subscript"/>
        <sz val="10"/>
        <rFont val="Verdana"/>
        <family val="2"/>
      </rPr>
      <t>leach,TIME1</t>
    </r>
    <r>
      <rPr>
        <sz val="10"/>
        <color theme="1"/>
        <rFont val="Verdana"/>
        <family val="2"/>
      </rPr>
      <t/>
    </r>
  </si>
  <si>
    <r>
      <t>Q</t>
    </r>
    <r>
      <rPr>
        <b/>
        <vertAlign val="subscript"/>
        <sz val="10"/>
        <rFont val="Verdana"/>
        <family val="2"/>
      </rPr>
      <t>leach,TIME2</t>
    </r>
    <r>
      <rPr>
        <b/>
        <sz val="10"/>
        <rFont val="Verdana"/>
        <family val="2"/>
      </rPr>
      <t xml:space="preserve"> </t>
    </r>
    <r>
      <rPr>
        <sz val="10"/>
        <rFont val="Verdana"/>
        <family val="2"/>
      </rPr>
      <t>= AREA</t>
    </r>
    <r>
      <rPr>
        <vertAlign val="subscript"/>
        <sz val="10"/>
        <rFont val="Verdana"/>
        <family val="2"/>
      </rPr>
      <t xml:space="preserve">house_leachable </t>
    </r>
    <r>
      <rPr>
        <sz val="10"/>
        <rFont val="Verdana"/>
        <family val="2"/>
      </rPr>
      <t>* Q</t>
    </r>
    <r>
      <rPr>
        <vertAlign val="superscript"/>
        <sz val="10"/>
        <rFont val="Verdana"/>
        <family val="2"/>
      </rPr>
      <t>*</t>
    </r>
    <r>
      <rPr>
        <vertAlign val="subscript"/>
        <sz val="10"/>
        <rFont val="Verdana"/>
        <family val="2"/>
      </rPr>
      <t>leach,TIME2</t>
    </r>
    <r>
      <rPr>
        <sz val="10"/>
        <color theme="1"/>
        <rFont val="Verdana"/>
        <family val="2"/>
      </rPr>
      <t/>
    </r>
  </si>
  <si>
    <r>
      <t>Q</t>
    </r>
    <r>
      <rPr>
        <b/>
        <vertAlign val="subscript"/>
        <sz val="10"/>
        <rFont val="Verdana"/>
        <family val="2"/>
      </rPr>
      <t>leach,TIME3</t>
    </r>
    <r>
      <rPr>
        <b/>
        <sz val="10"/>
        <rFont val="Verdana"/>
        <family val="2"/>
      </rPr>
      <t xml:space="preserve"> </t>
    </r>
    <r>
      <rPr>
        <sz val="10"/>
        <rFont val="Verdana"/>
        <family val="2"/>
      </rPr>
      <t>= AREA</t>
    </r>
    <r>
      <rPr>
        <vertAlign val="subscript"/>
        <sz val="10"/>
        <rFont val="Verdana"/>
        <family val="2"/>
      </rPr>
      <t xml:space="preserve">house_leachable </t>
    </r>
    <r>
      <rPr>
        <sz val="10"/>
        <rFont val="Verdana"/>
        <family val="2"/>
      </rPr>
      <t>* Q</t>
    </r>
    <r>
      <rPr>
        <vertAlign val="superscript"/>
        <sz val="10"/>
        <rFont val="Verdana"/>
        <family val="2"/>
      </rPr>
      <t>*</t>
    </r>
    <r>
      <rPr>
        <vertAlign val="subscript"/>
        <sz val="10"/>
        <rFont val="Verdana"/>
        <family val="2"/>
      </rPr>
      <t>leach,TIME3</t>
    </r>
  </si>
  <si>
    <r>
      <t>mg.ha</t>
    </r>
    <r>
      <rPr>
        <vertAlign val="superscript"/>
        <sz val="10"/>
        <rFont val="Verdana"/>
        <family val="2"/>
      </rPr>
      <t>-1</t>
    </r>
  </si>
  <si>
    <r>
      <t>Q</t>
    </r>
    <r>
      <rPr>
        <b/>
        <vertAlign val="subscript"/>
        <sz val="10"/>
        <rFont val="Verdana"/>
        <family val="2"/>
      </rPr>
      <t>leach,TIME1</t>
    </r>
    <r>
      <rPr>
        <b/>
        <sz val="10"/>
        <rFont val="Verdana"/>
        <family val="2"/>
      </rPr>
      <t xml:space="preserve"> </t>
    </r>
    <r>
      <rPr>
        <sz val="10"/>
        <rFont val="Verdana"/>
        <family val="2"/>
      </rPr>
      <t>= AREA</t>
    </r>
    <r>
      <rPr>
        <vertAlign val="subscript"/>
        <sz val="10"/>
        <rFont val="Verdana"/>
        <family val="2"/>
      </rPr>
      <t xml:space="preserve">sleepers </t>
    </r>
    <r>
      <rPr>
        <sz val="10"/>
        <rFont val="Verdana"/>
        <family val="2"/>
      </rPr>
      <t>* N</t>
    </r>
    <r>
      <rPr>
        <vertAlign val="subscript"/>
        <sz val="10"/>
        <rFont val="Verdana"/>
        <family val="2"/>
      </rPr>
      <t>sleepers</t>
    </r>
    <r>
      <rPr>
        <sz val="10"/>
        <rFont val="Verdana"/>
        <family val="2"/>
      </rPr>
      <t xml:space="preserve"> * Q</t>
    </r>
    <r>
      <rPr>
        <vertAlign val="superscript"/>
        <sz val="10"/>
        <rFont val="Verdana"/>
        <family val="2"/>
      </rPr>
      <t>*</t>
    </r>
    <r>
      <rPr>
        <vertAlign val="subscript"/>
        <sz val="10"/>
        <rFont val="Verdana"/>
        <family val="2"/>
      </rPr>
      <t>leach,TIME1</t>
    </r>
    <r>
      <rPr>
        <sz val="10"/>
        <color theme="1"/>
        <rFont val="Verdana"/>
        <family val="2"/>
      </rPr>
      <t/>
    </r>
  </si>
  <si>
    <r>
      <t>Q</t>
    </r>
    <r>
      <rPr>
        <b/>
        <vertAlign val="subscript"/>
        <sz val="10"/>
        <rFont val="Verdana"/>
        <family val="2"/>
      </rPr>
      <t>leach,TIME2</t>
    </r>
    <r>
      <rPr>
        <b/>
        <sz val="10"/>
        <rFont val="Verdana"/>
        <family val="2"/>
      </rPr>
      <t xml:space="preserve"> </t>
    </r>
    <r>
      <rPr>
        <sz val="10"/>
        <rFont val="Verdana"/>
        <family val="2"/>
      </rPr>
      <t>= AREA</t>
    </r>
    <r>
      <rPr>
        <vertAlign val="subscript"/>
        <sz val="10"/>
        <rFont val="Verdana"/>
        <family val="2"/>
      </rPr>
      <t xml:space="preserve">sleepers </t>
    </r>
    <r>
      <rPr>
        <sz val="10"/>
        <rFont val="Verdana"/>
        <family val="2"/>
      </rPr>
      <t>* N</t>
    </r>
    <r>
      <rPr>
        <vertAlign val="subscript"/>
        <sz val="10"/>
        <rFont val="Verdana"/>
        <family val="2"/>
      </rPr>
      <t>sleepers</t>
    </r>
    <r>
      <rPr>
        <sz val="10"/>
        <rFont val="Verdana"/>
        <family val="2"/>
      </rPr>
      <t xml:space="preserve"> * Q</t>
    </r>
    <r>
      <rPr>
        <vertAlign val="superscript"/>
        <sz val="10"/>
        <rFont val="Verdana"/>
        <family val="2"/>
      </rPr>
      <t>*</t>
    </r>
    <r>
      <rPr>
        <vertAlign val="subscript"/>
        <sz val="10"/>
        <rFont val="Verdana"/>
        <family val="2"/>
      </rPr>
      <t>leach,TIME2</t>
    </r>
    <r>
      <rPr>
        <sz val="10"/>
        <color theme="1"/>
        <rFont val="Verdana"/>
        <family val="2"/>
      </rPr>
      <t/>
    </r>
  </si>
  <si>
    <r>
      <t>Q</t>
    </r>
    <r>
      <rPr>
        <b/>
        <vertAlign val="subscript"/>
        <sz val="10"/>
        <rFont val="Verdana"/>
        <family val="2"/>
      </rPr>
      <t>leach,TIME3</t>
    </r>
    <r>
      <rPr>
        <b/>
        <sz val="10"/>
        <rFont val="Verdana"/>
        <family val="2"/>
      </rPr>
      <t xml:space="preserve"> </t>
    </r>
    <r>
      <rPr>
        <sz val="10"/>
        <rFont val="Verdana"/>
        <family val="2"/>
      </rPr>
      <t>= AREA</t>
    </r>
    <r>
      <rPr>
        <vertAlign val="subscript"/>
        <sz val="10"/>
        <rFont val="Verdana"/>
        <family val="2"/>
      </rPr>
      <t xml:space="preserve">sleepers </t>
    </r>
    <r>
      <rPr>
        <sz val="10"/>
        <rFont val="Verdana"/>
        <family val="2"/>
      </rPr>
      <t>* N</t>
    </r>
    <r>
      <rPr>
        <vertAlign val="subscript"/>
        <sz val="10"/>
        <rFont val="Verdana"/>
        <family val="2"/>
      </rPr>
      <t>sleepers</t>
    </r>
    <r>
      <rPr>
        <sz val="10"/>
        <rFont val="Verdana"/>
        <family val="2"/>
      </rPr>
      <t xml:space="preserve"> * Q</t>
    </r>
    <r>
      <rPr>
        <vertAlign val="superscript"/>
        <sz val="10"/>
        <rFont val="Verdana"/>
        <family val="2"/>
      </rPr>
      <t>*</t>
    </r>
    <r>
      <rPr>
        <vertAlign val="subscript"/>
        <sz val="10"/>
        <rFont val="Verdana"/>
        <family val="2"/>
      </rPr>
      <t>leach,TIME3</t>
    </r>
  </si>
  <si>
    <r>
      <t>mg.m</t>
    </r>
    <r>
      <rPr>
        <vertAlign val="superscript"/>
        <sz val="10"/>
        <rFont val="Verdana"/>
        <family val="2"/>
      </rPr>
      <t>-2</t>
    </r>
    <r>
      <rPr>
        <sz val="10"/>
        <rFont val="Verdana"/>
        <family val="2"/>
      </rPr>
      <t xml:space="preserve"> or mg.m</t>
    </r>
    <r>
      <rPr>
        <vertAlign val="superscript"/>
        <sz val="10"/>
        <rFont val="Verdana"/>
        <family val="2"/>
      </rPr>
      <t>-3</t>
    </r>
  </si>
  <si>
    <r>
      <t>Q</t>
    </r>
    <r>
      <rPr>
        <b/>
        <vertAlign val="subscript"/>
        <sz val="10"/>
        <rFont val="Verdana"/>
        <family val="2"/>
      </rPr>
      <t>leach,TIME1</t>
    </r>
    <r>
      <rPr>
        <b/>
        <sz val="10"/>
        <rFont val="Verdana"/>
        <family val="2"/>
      </rPr>
      <t xml:space="preserve"> </t>
    </r>
    <r>
      <rPr>
        <sz val="10"/>
        <rFont val="Verdana"/>
        <family val="2"/>
      </rPr>
      <t>= AREA</t>
    </r>
    <r>
      <rPr>
        <vertAlign val="subscript"/>
        <sz val="10"/>
        <rFont val="Verdana"/>
        <family val="2"/>
      </rPr>
      <t>dock</t>
    </r>
    <r>
      <rPr>
        <sz val="10"/>
        <rFont val="Verdana"/>
        <family val="2"/>
      </rPr>
      <t xml:space="preserve"> (or VOLUME</t>
    </r>
    <r>
      <rPr>
        <vertAlign val="subscript"/>
        <sz val="10"/>
        <rFont val="Verdana"/>
        <family val="2"/>
      </rPr>
      <t>dock</t>
    </r>
    <r>
      <rPr>
        <sz val="10"/>
        <rFont val="Verdana"/>
        <family val="2"/>
      </rPr>
      <t>) * N</t>
    </r>
    <r>
      <rPr>
        <vertAlign val="subscript"/>
        <sz val="10"/>
        <rFont val="Verdana"/>
        <family val="2"/>
      </rPr>
      <t xml:space="preserve">dock </t>
    </r>
    <r>
      <rPr>
        <sz val="10"/>
        <rFont val="Verdana"/>
        <family val="2"/>
      </rPr>
      <t>* Q</t>
    </r>
    <r>
      <rPr>
        <vertAlign val="superscript"/>
        <sz val="10"/>
        <rFont val="Verdana"/>
        <family val="2"/>
      </rPr>
      <t>*</t>
    </r>
    <r>
      <rPr>
        <vertAlign val="subscript"/>
        <sz val="10"/>
        <rFont val="Verdana"/>
        <family val="2"/>
      </rPr>
      <t>leach,TIME1</t>
    </r>
    <r>
      <rPr>
        <sz val="10"/>
        <color theme="1"/>
        <rFont val="Verdana"/>
        <family val="2"/>
      </rPr>
      <t/>
    </r>
  </si>
  <si>
    <r>
      <t>Q</t>
    </r>
    <r>
      <rPr>
        <b/>
        <vertAlign val="subscript"/>
        <sz val="10"/>
        <rFont val="Verdana"/>
        <family val="2"/>
      </rPr>
      <t>leach,TIME2</t>
    </r>
    <r>
      <rPr>
        <b/>
        <sz val="10"/>
        <rFont val="Verdana"/>
        <family val="2"/>
      </rPr>
      <t xml:space="preserve"> </t>
    </r>
    <r>
      <rPr>
        <sz val="10"/>
        <rFont val="Verdana"/>
        <family val="2"/>
      </rPr>
      <t>= AREA</t>
    </r>
    <r>
      <rPr>
        <vertAlign val="subscript"/>
        <sz val="10"/>
        <rFont val="Verdana"/>
        <family val="2"/>
      </rPr>
      <t>dock</t>
    </r>
    <r>
      <rPr>
        <sz val="10"/>
        <rFont val="Verdana"/>
        <family val="2"/>
      </rPr>
      <t xml:space="preserve"> (or VOLUME</t>
    </r>
    <r>
      <rPr>
        <vertAlign val="subscript"/>
        <sz val="10"/>
        <rFont val="Verdana"/>
        <family val="2"/>
      </rPr>
      <t>dock</t>
    </r>
    <r>
      <rPr>
        <sz val="10"/>
        <rFont val="Verdana"/>
        <family val="2"/>
      </rPr>
      <t>) * N</t>
    </r>
    <r>
      <rPr>
        <vertAlign val="subscript"/>
        <sz val="10"/>
        <rFont val="Verdana"/>
        <family val="2"/>
      </rPr>
      <t xml:space="preserve">dock </t>
    </r>
    <r>
      <rPr>
        <sz val="10"/>
        <rFont val="Verdana"/>
        <family val="2"/>
      </rPr>
      <t>* Q</t>
    </r>
    <r>
      <rPr>
        <vertAlign val="superscript"/>
        <sz val="10"/>
        <rFont val="Verdana"/>
        <family val="2"/>
      </rPr>
      <t>*</t>
    </r>
    <r>
      <rPr>
        <vertAlign val="subscript"/>
        <sz val="10"/>
        <rFont val="Verdana"/>
        <family val="2"/>
      </rPr>
      <t>leach,TIME2</t>
    </r>
  </si>
  <si>
    <r>
      <t>Q</t>
    </r>
    <r>
      <rPr>
        <b/>
        <vertAlign val="subscript"/>
        <sz val="10"/>
        <rFont val="Verdana"/>
        <family val="2"/>
      </rPr>
      <t>leach,TIME3</t>
    </r>
    <r>
      <rPr>
        <b/>
        <sz val="10"/>
        <rFont val="Verdana"/>
        <family val="2"/>
      </rPr>
      <t xml:space="preserve"> </t>
    </r>
    <r>
      <rPr>
        <sz val="10"/>
        <rFont val="Verdana"/>
        <family val="2"/>
      </rPr>
      <t>= AREA</t>
    </r>
    <r>
      <rPr>
        <vertAlign val="subscript"/>
        <sz val="10"/>
        <rFont val="Verdana"/>
        <family val="2"/>
      </rPr>
      <t>dock</t>
    </r>
    <r>
      <rPr>
        <sz val="10"/>
        <rFont val="Verdana"/>
        <family val="2"/>
      </rPr>
      <t xml:space="preserve"> (or VOLUME</t>
    </r>
    <r>
      <rPr>
        <vertAlign val="subscript"/>
        <sz val="10"/>
        <rFont val="Verdana"/>
        <family val="2"/>
      </rPr>
      <t>dock</t>
    </r>
    <r>
      <rPr>
        <sz val="10"/>
        <rFont val="Verdana"/>
        <family val="2"/>
      </rPr>
      <t>) * N</t>
    </r>
    <r>
      <rPr>
        <vertAlign val="subscript"/>
        <sz val="10"/>
        <rFont val="Verdana"/>
        <family val="2"/>
      </rPr>
      <t xml:space="preserve">dock </t>
    </r>
    <r>
      <rPr>
        <sz val="10"/>
        <rFont val="Verdana"/>
        <family val="2"/>
      </rPr>
      <t>* Q</t>
    </r>
    <r>
      <rPr>
        <vertAlign val="superscript"/>
        <sz val="10"/>
        <rFont val="Verdana"/>
        <family val="2"/>
      </rPr>
      <t>*</t>
    </r>
    <r>
      <rPr>
        <vertAlign val="subscript"/>
        <sz val="10"/>
        <rFont val="Verdana"/>
        <family val="2"/>
      </rPr>
      <t>leach,TIME3</t>
    </r>
  </si>
  <si>
    <r>
      <rPr>
        <b/>
        <sz val="10"/>
        <rFont val="Verdana"/>
        <family val="2"/>
      </rPr>
      <t>Clocal</t>
    </r>
    <r>
      <rPr>
        <b/>
        <vertAlign val="subscript"/>
        <sz val="10"/>
        <rFont val="Verdana"/>
        <family val="2"/>
      </rPr>
      <t>surfacewater,leach,TIME1</t>
    </r>
    <r>
      <rPr>
        <sz val="10"/>
        <rFont val="Verdana"/>
        <family val="2"/>
      </rPr>
      <t xml:space="preserve"> = Q</t>
    </r>
    <r>
      <rPr>
        <vertAlign val="subscript"/>
        <sz val="10"/>
        <rFont val="Verdana"/>
        <family val="2"/>
      </rPr>
      <t>leach,TIME1</t>
    </r>
    <r>
      <rPr>
        <sz val="10"/>
        <rFont val="Verdana"/>
        <family val="2"/>
      </rPr>
      <t xml:space="preserve"> / V</t>
    </r>
    <r>
      <rPr>
        <vertAlign val="subscript"/>
        <sz val="10"/>
        <rFont val="Verdana"/>
        <family val="2"/>
      </rPr>
      <t>water</t>
    </r>
    <r>
      <rPr>
        <sz val="10"/>
        <rFont val="Verdana"/>
        <family val="2"/>
      </rPr>
      <t xml:space="preserve"> </t>
    </r>
  </si>
  <si>
    <r>
      <rPr>
        <b/>
        <sz val="10"/>
        <rFont val="Verdana"/>
        <family val="2"/>
      </rPr>
      <t>Clocal</t>
    </r>
    <r>
      <rPr>
        <b/>
        <vertAlign val="subscript"/>
        <sz val="10"/>
        <rFont val="Verdana"/>
        <family val="2"/>
      </rPr>
      <t>surfacewater,leach,TIME2</t>
    </r>
    <r>
      <rPr>
        <sz val="10"/>
        <rFont val="Verdana"/>
        <family val="2"/>
      </rPr>
      <t xml:space="preserve"> = Q</t>
    </r>
    <r>
      <rPr>
        <vertAlign val="subscript"/>
        <sz val="10"/>
        <rFont val="Verdana"/>
        <family val="2"/>
      </rPr>
      <t>leach,TIME2</t>
    </r>
    <r>
      <rPr>
        <sz val="10"/>
        <rFont val="Verdana"/>
        <family val="2"/>
      </rPr>
      <t xml:space="preserve"> / V</t>
    </r>
    <r>
      <rPr>
        <vertAlign val="subscript"/>
        <sz val="10"/>
        <rFont val="Verdana"/>
        <family val="2"/>
      </rPr>
      <t>water</t>
    </r>
    <r>
      <rPr>
        <sz val="10"/>
        <rFont val="Verdana"/>
        <family val="2"/>
      </rPr>
      <t xml:space="preserve"> </t>
    </r>
  </si>
  <si>
    <r>
      <rPr>
        <b/>
        <sz val="10"/>
        <rFont val="Verdana"/>
        <family val="2"/>
      </rPr>
      <t>Clocal</t>
    </r>
    <r>
      <rPr>
        <b/>
        <vertAlign val="subscript"/>
        <sz val="10"/>
        <rFont val="Verdana"/>
        <family val="2"/>
      </rPr>
      <t xml:space="preserve">surfacewater,leach,TIME3 </t>
    </r>
    <r>
      <rPr>
        <sz val="10"/>
        <rFont val="Verdana"/>
        <family val="2"/>
      </rPr>
      <t>= Q</t>
    </r>
    <r>
      <rPr>
        <vertAlign val="subscript"/>
        <sz val="10"/>
        <rFont val="Verdana"/>
        <family val="2"/>
      </rPr>
      <t>leach,TIME3</t>
    </r>
    <r>
      <rPr>
        <sz val="10"/>
        <rFont val="Verdana"/>
        <family val="2"/>
      </rPr>
      <t xml:space="preserve"> / V</t>
    </r>
    <r>
      <rPr>
        <vertAlign val="subscript"/>
        <sz val="10"/>
        <rFont val="Verdana"/>
        <family val="2"/>
      </rPr>
      <t>water</t>
    </r>
    <r>
      <rPr>
        <sz val="10"/>
        <rFont val="Verdana"/>
        <family val="2"/>
      </rPr>
      <t xml:space="preserve"> </t>
    </r>
  </si>
  <si>
    <r>
      <t>Q</t>
    </r>
    <r>
      <rPr>
        <b/>
        <vertAlign val="subscript"/>
        <sz val="10"/>
        <rFont val="Verdana"/>
        <family val="2"/>
      </rPr>
      <t>leach,TIME1</t>
    </r>
    <r>
      <rPr>
        <b/>
        <sz val="10"/>
        <rFont val="Verdana"/>
        <family val="2"/>
      </rPr>
      <t xml:space="preserve"> </t>
    </r>
    <r>
      <rPr>
        <sz val="10"/>
        <rFont val="Verdana"/>
        <family val="2"/>
      </rPr>
      <t>= AREA</t>
    </r>
    <r>
      <rPr>
        <vertAlign val="subscript"/>
        <sz val="10"/>
        <rFont val="Verdana"/>
        <family val="2"/>
      </rPr>
      <t>deck/fence</t>
    </r>
    <r>
      <rPr>
        <sz val="10"/>
        <rFont val="Verdana"/>
        <family val="2"/>
      </rPr>
      <t xml:space="preserve"> * N</t>
    </r>
    <r>
      <rPr>
        <vertAlign val="subscript"/>
        <sz val="10"/>
        <rFont val="Verdana"/>
        <family val="2"/>
      </rPr>
      <t xml:space="preserve">house </t>
    </r>
    <r>
      <rPr>
        <sz val="10"/>
        <rFont val="Verdana"/>
        <family val="2"/>
      </rPr>
      <t>* Q</t>
    </r>
    <r>
      <rPr>
        <vertAlign val="superscript"/>
        <sz val="10"/>
        <rFont val="Verdana"/>
        <family val="2"/>
      </rPr>
      <t>*</t>
    </r>
    <r>
      <rPr>
        <vertAlign val="subscript"/>
        <sz val="10"/>
        <rFont val="Verdana"/>
        <family val="2"/>
      </rPr>
      <t>leach,TIME1</t>
    </r>
    <r>
      <rPr>
        <sz val="10"/>
        <color theme="1"/>
        <rFont val="Verdana"/>
        <family val="2"/>
      </rPr>
      <t/>
    </r>
  </si>
  <si>
    <r>
      <t>Q</t>
    </r>
    <r>
      <rPr>
        <b/>
        <vertAlign val="subscript"/>
        <sz val="10"/>
        <rFont val="Verdana"/>
        <family val="2"/>
      </rPr>
      <t>leach,TIME2</t>
    </r>
    <r>
      <rPr>
        <b/>
        <sz val="10"/>
        <rFont val="Verdana"/>
        <family val="2"/>
      </rPr>
      <t xml:space="preserve"> </t>
    </r>
    <r>
      <rPr>
        <sz val="10"/>
        <rFont val="Verdana"/>
        <family val="2"/>
      </rPr>
      <t>= AREA</t>
    </r>
    <r>
      <rPr>
        <vertAlign val="subscript"/>
        <sz val="10"/>
        <rFont val="Verdana"/>
        <family val="2"/>
      </rPr>
      <t>deck/fence</t>
    </r>
    <r>
      <rPr>
        <sz val="10"/>
        <rFont val="Verdana"/>
        <family val="2"/>
      </rPr>
      <t xml:space="preserve"> * N</t>
    </r>
    <r>
      <rPr>
        <vertAlign val="subscript"/>
        <sz val="10"/>
        <rFont val="Verdana"/>
        <family val="2"/>
      </rPr>
      <t xml:space="preserve">fence </t>
    </r>
    <r>
      <rPr>
        <sz val="10"/>
        <rFont val="Verdana"/>
        <family val="2"/>
      </rPr>
      <t>* Q</t>
    </r>
    <r>
      <rPr>
        <vertAlign val="superscript"/>
        <sz val="10"/>
        <rFont val="Verdana"/>
        <family val="2"/>
      </rPr>
      <t>*</t>
    </r>
    <r>
      <rPr>
        <vertAlign val="subscript"/>
        <sz val="10"/>
        <rFont val="Verdana"/>
        <family val="2"/>
      </rPr>
      <t>leach,TIME2</t>
    </r>
  </si>
  <si>
    <r>
      <t>Q</t>
    </r>
    <r>
      <rPr>
        <b/>
        <vertAlign val="subscript"/>
        <sz val="10"/>
        <rFont val="Verdana"/>
        <family val="2"/>
      </rPr>
      <t>leach,TIME3</t>
    </r>
    <r>
      <rPr>
        <b/>
        <sz val="10"/>
        <rFont val="Verdana"/>
        <family val="2"/>
      </rPr>
      <t xml:space="preserve"> </t>
    </r>
    <r>
      <rPr>
        <sz val="10"/>
        <rFont val="Verdana"/>
        <family val="2"/>
      </rPr>
      <t>= AREA</t>
    </r>
    <r>
      <rPr>
        <vertAlign val="subscript"/>
        <sz val="10"/>
        <rFont val="Verdana"/>
        <family val="2"/>
      </rPr>
      <t>deck/fence</t>
    </r>
    <r>
      <rPr>
        <sz val="10"/>
        <rFont val="Verdana"/>
        <family val="2"/>
      </rPr>
      <t xml:space="preserve"> * N</t>
    </r>
    <r>
      <rPr>
        <vertAlign val="subscript"/>
        <sz val="10"/>
        <rFont val="Verdana"/>
        <family val="2"/>
      </rPr>
      <t xml:space="preserve">fence </t>
    </r>
    <r>
      <rPr>
        <sz val="10"/>
        <rFont val="Verdana"/>
        <family val="2"/>
      </rPr>
      <t>* Q</t>
    </r>
    <r>
      <rPr>
        <vertAlign val="superscript"/>
        <sz val="10"/>
        <rFont val="Verdana"/>
        <family val="2"/>
      </rPr>
      <t>*</t>
    </r>
    <r>
      <rPr>
        <vertAlign val="subscript"/>
        <sz val="10"/>
        <rFont val="Verdana"/>
        <family val="2"/>
      </rPr>
      <t>leach,TIME3</t>
    </r>
  </si>
  <si>
    <r>
      <rPr>
        <b/>
        <sz val="10"/>
        <rFont val="Verdana"/>
        <family val="2"/>
      </rPr>
      <t>Clocal</t>
    </r>
    <r>
      <rPr>
        <b/>
        <vertAlign val="subscript"/>
        <sz val="10"/>
        <rFont val="Verdana"/>
        <family val="2"/>
      </rPr>
      <t>surfacewater,leach,TIME3</t>
    </r>
    <r>
      <rPr>
        <sz val="10"/>
        <rFont val="Verdana"/>
        <family val="2"/>
      </rPr>
      <t xml:space="preserve"> = Q</t>
    </r>
    <r>
      <rPr>
        <vertAlign val="subscript"/>
        <sz val="10"/>
        <rFont val="Verdana"/>
        <family val="2"/>
      </rPr>
      <t>leach,TIME3</t>
    </r>
    <r>
      <rPr>
        <sz val="10"/>
        <rFont val="Verdana"/>
        <family val="2"/>
      </rPr>
      <t xml:space="preserve"> / V</t>
    </r>
    <r>
      <rPr>
        <vertAlign val="subscript"/>
        <sz val="10"/>
        <rFont val="Verdana"/>
        <family val="2"/>
      </rPr>
      <t>water</t>
    </r>
    <r>
      <rPr>
        <sz val="10"/>
        <rFont val="Verdana"/>
        <family val="2"/>
      </rPr>
      <t xml:space="preserve"> </t>
    </r>
  </si>
  <si>
    <t>-The default values can be overwritten. Once overwritten, in order to revert to the default values, these need to be manually introduced. Alternatively replace this worksheet by copying the one from the excel file in ECHA website.</t>
  </si>
  <si>
    <t>-The scenario for railway sleepers should be used as a first tier to assess the groundwater compartment for UC4 (agreed at WG-IV-2017).</t>
  </si>
  <si>
    <t>-In a first tier assessment TIME1, TIME2 and TIME3 below correspond to the following periods, respectively: day 1 - end of TIME1; day 1 - end of TIME2; day 1 - end of TIME3. A second tier approach is currently under discussion and will be implemented as soon as agreed (WG-IV-2017).</t>
  </si>
  <si>
    <t>Agreed at WG-IV-2017</t>
  </si>
  <si>
    <t>-In a first tier assessment TIME1, TIME2 and TIME3 below correspond to the following periods:
     TIME1: from day 1 until the end of TIME1;
     TIME2: from day 1 until the end of TIME2;
     TIME3: from day 1 until the end of TIME3.
A second tier is currently under discussion and will be implemented as soon as agreed (WG-IV-2017).</t>
  </si>
  <si>
    <t>v1.1</t>
  </si>
  <si>
    <t>Formatting correction (cells with drop-down lists were locked, preventing selection of values)</t>
  </si>
  <si>
    <r>
      <rPr>
        <b/>
        <sz val="10"/>
        <rFont val="Verdana"/>
        <family val="2"/>
      </rPr>
      <t>Clocal</t>
    </r>
    <r>
      <rPr>
        <b/>
        <vertAlign val="subscript"/>
        <sz val="10"/>
        <rFont val="Verdana"/>
        <family val="2"/>
      </rPr>
      <t>pore,TIME2</t>
    </r>
    <r>
      <rPr>
        <b/>
        <sz val="10"/>
        <rFont val="Verdana"/>
        <family val="2"/>
      </rPr>
      <t xml:space="preserve"> =</t>
    </r>
    <r>
      <rPr>
        <sz val="10"/>
        <rFont val="Verdana"/>
        <family val="2"/>
      </rPr>
      <t xml:space="preserve"> Clocal</t>
    </r>
    <r>
      <rPr>
        <vertAlign val="subscript"/>
        <sz val="10"/>
        <rFont val="Verdana"/>
        <family val="2"/>
      </rPr>
      <t>soil,TIME2*</t>
    </r>
    <r>
      <rPr>
        <sz val="10"/>
        <rFont val="Verdana"/>
        <family val="2"/>
      </rPr>
      <t>RHO</t>
    </r>
    <r>
      <rPr>
        <vertAlign val="subscript"/>
        <sz val="10"/>
        <rFont val="Verdana"/>
        <family val="2"/>
      </rPr>
      <t>soil</t>
    </r>
    <r>
      <rPr>
        <sz val="10"/>
        <rFont val="Verdana"/>
        <family val="2"/>
      </rPr>
      <t>*0.001/K</t>
    </r>
    <r>
      <rPr>
        <vertAlign val="subscript"/>
        <sz val="10"/>
        <rFont val="Verdana"/>
        <family val="2"/>
      </rPr>
      <t>soil-water</t>
    </r>
  </si>
  <si>
    <t>v1.2</t>
  </si>
  <si>
    <r>
      <rPr>
        <b/>
        <sz val="10"/>
        <rFont val="Verdana"/>
        <family val="2"/>
      </rPr>
      <t>Clocal</t>
    </r>
    <r>
      <rPr>
        <b/>
        <vertAlign val="subscript"/>
        <sz val="10"/>
        <rFont val="Verdana"/>
        <family val="2"/>
      </rPr>
      <t>water,leach,TIME2</t>
    </r>
    <r>
      <rPr>
        <sz val="10"/>
        <rFont val="Verdana"/>
        <family val="2"/>
      </rPr>
      <t xml:space="preserve"> = Q</t>
    </r>
    <r>
      <rPr>
        <vertAlign val="subscript"/>
        <sz val="10"/>
        <rFont val="Verdana"/>
        <family val="2"/>
      </rPr>
      <t>leach,TIME2</t>
    </r>
    <r>
      <rPr>
        <sz val="10"/>
        <rFont val="Verdana"/>
        <family val="2"/>
      </rPr>
      <t xml:space="preserve"> * 0.001 / V</t>
    </r>
    <r>
      <rPr>
        <vertAlign val="subscript"/>
        <sz val="10"/>
        <rFont val="Verdana"/>
        <family val="2"/>
      </rPr>
      <t>water</t>
    </r>
  </si>
  <si>
    <r>
      <rPr>
        <b/>
        <sz val="10"/>
        <rFont val="Verdana"/>
        <family val="2"/>
      </rPr>
      <t>Clocal</t>
    </r>
    <r>
      <rPr>
        <b/>
        <vertAlign val="subscript"/>
        <sz val="10"/>
        <rFont val="Verdana"/>
        <family val="2"/>
      </rPr>
      <t>water,leach,TIME3</t>
    </r>
    <r>
      <rPr>
        <sz val="10"/>
        <rFont val="Verdana"/>
        <family val="2"/>
      </rPr>
      <t xml:space="preserve"> = Q</t>
    </r>
    <r>
      <rPr>
        <vertAlign val="subscript"/>
        <sz val="10"/>
        <rFont val="Verdana"/>
        <family val="2"/>
      </rPr>
      <t>leach,TIME3</t>
    </r>
    <r>
      <rPr>
        <sz val="10"/>
        <rFont val="Verdana"/>
        <family val="2"/>
      </rPr>
      <t xml:space="preserve"> * 0.001 / V</t>
    </r>
    <r>
      <rPr>
        <vertAlign val="subscript"/>
        <sz val="10"/>
        <rFont val="Verdana"/>
        <family val="2"/>
      </rPr>
      <t>water</t>
    </r>
  </si>
  <si>
    <r>
      <rPr>
        <b/>
        <sz val="10"/>
        <rFont val="Verdana"/>
        <family val="2"/>
      </rPr>
      <t>Kp</t>
    </r>
    <r>
      <rPr>
        <b/>
        <vertAlign val="subscript"/>
        <sz val="10"/>
        <rFont val="Verdana"/>
        <family val="2"/>
      </rPr>
      <t>susp</t>
    </r>
    <r>
      <rPr>
        <b/>
        <sz val="10"/>
        <rFont val="Verdana"/>
        <family val="2"/>
      </rPr>
      <t xml:space="preserve"> </t>
    </r>
    <r>
      <rPr>
        <sz val="10"/>
        <rFont val="Verdana"/>
        <family val="2"/>
      </rPr>
      <t>= K</t>
    </r>
    <r>
      <rPr>
        <vertAlign val="subscript"/>
        <sz val="10"/>
        <rFont val="Verdana"/>
        <family val="2"/>
      </rPr>
      <t>oc</t>
    </r>
    <r>
      <rPr>
        <sz val="10"/>
        <rFont val="Verdana"/>
        <family val="2"/>
      </rPr>
      <t xml:space="preserve"> * F</t>
    </r>
    <r>
      <rPr>
        <vertAlign val="subscript"/>
        <sz val="10"/>
        <rFont val="Verdana"/>
        <family val="2"/>
      </rPr>
      <t>oc,susp</t>
    </r>
    <r>
      <rPr>
        <vertAlign val="subscript"/>
        <sz val="10"/>
        <rFont val="Verdana"/>
        <family val="2"/>
      </rPr>
      <t xml:space="preserve"> </t>
    </r>
    <r>
      <rPr>
        <sz val="10"/>
        <rFont val="Verdana"/>
        <family val="2"/>
      </rPr>
      <t>(Vol IV Part B+C, v2.0, p.57)</t>
    </r>
  </si>
  <si>
    <t>Fraction of active substance in the product</t>
  </si>
  <si>
    <t xml:space="preserve">Water solubilty ≥ 100 mg/l </t>
  </si>
  <si>
    <t>Vapour pressure at 20 °C: ≥ 2.5 Pa</t>
  </si>
  <si>
    <t>2000 ≤ Koc &lt; 5000</t>
  </si>
  <si>
    <r>
      <t xml:space="preserve">500  </t>
    </r>
    <r>
      <rPr>
        <sz val="10"/>
        <color theme="1"/>
        <rFont val="Verdana"/>
        <family val="2"/>
      </rPr>
      <t>≤ Koc &lt; 2000</t>
    </r>
  </si>
  <si>
    <r>
      <t xml:space="preserve">Koc </t>
    </r>
    <r>
      <rPr>
        <sz val="10"/>
        <color theme="1"/>
        <rFont val="Verdana"/>
        <family val="2"/>
      </rPr>
      <t xml:space="preserve">≥ 5000 </t>
    </r>
  </si>
  <si>
    <t>Fraction of spray drift depositing to a 0.5 m wide soil band 1-1.5m distant from the house (tier 2)</t>
  </si>
  <si>
    <r>
      <rPr>
        <b/>
        <sz val="10"/>
        <rFont val="Verdana"/>
        <family val="2"/>
      </rPr>
      <t xml:space="preserve">ESD Eq. 3.16) </t>
    </r>
    <r>
      <rPr>
        <sz val="10"/>
        <rFont val="Verdana"/>
        <family val="2"/>
      </rPr>
      <t>Time weighted concentration in local water over the initial assessment period</t>
    </r>
  </si>
  <si>
    <r>
      <rPr>
        <b/>
        <sz val="10"/>
        <rFont val="Verdana"/>
        <family val="2"/>
      </rPr>
      <t>ESD Eq. 3.17)</t>
    </r>
    <r>
      <rPr>
        <sz val="10"/>
        <rFont val="Verdana"/>
        <family val="2"/>
      </rPr>
      <t xml:space="preserve"> Time weighted concentration in local water over a longer duration</t>
    </r>
  </si>
  <si>
    <r>
      <t>E</t>
    </r>
    <r>
      <rPr>
        <b/>
        <vertAlign val="subscript"/>
        <sz val="10"/>
        <color theme="1"/>
        <rFont val="Verdana"/>
        <family val="2"/>
      </rPr>
      <t>atm,fumi</t>
    </r>
    <r>
      <rPr>
        <b/>
        <sz val="10"/>
        <color theme="1"/>
        <rFont val="Verdana"/>
        <family val="2"/>
      </rPr>
      <t xml:space="preserve"> </t>
    </r>
    <r>
      <rPr>
        <sz val="10"/>
        <color theme="1"/>
        <rFont val="Verdana"/>
        <family val="2"/>
      </rPr>
      <t>= Q</t>
    </r>
    <r>
      <rPr>
        <vertAlign val="subscript"/>
        <sz val="10"/>
        <color theme="1"/>
        <rFont val="Verdana"/>
        <family val="2"/>
      </rPr>
      <t>applic,product</t>
    </r>
    <r>
      <rPr>
        <sz val="10"/>
        <color theme="1"/>
        <rFont val="Verdana"/>
        <family val="2"/>
      </rPr>
      <t>*V</t>
    </r>
    <r>
      <rPr>
        <vertAlign val="subscript"/>
        <sz val="10"/>
        <color theme="1"/>
        <rFont val="Verdana"/>
        <family val="2"/>
      </rPr>
      <t>fumigated</t>
    </r>
    <r>
      <rPr>
        <sz val="10"/>
        <color theme="1"/>
        <rFont val="Verdana"/>
        <family val="2"/>
      </rPr>
      <t xml:space="preserve"> * f</t>
    </r>
    <r>
      <rPr>
        <vertAlign val="subscript"/>
        <sz val="10"/>
        <color theme="1"/>
        <rFont val="Verdana"/>
        <family val="2"/>
      </rPr>
      <t>ai</t>
    </r>
    <r>
      <rPr>
        <sz val="10"/>
        <color theme="1"/>
        <rFont val="Verdana"/>
        <family val="2"/>
      </rPr>
      <t xml:space="preserve"> * (1-F</t>
    </r>
    <r>
      <rPr>
        <vertAlign val="subscript"/>
        <sz val="10"/>
        <color theme="1"/>
        <rFont val="Verdana"/>
        <family val="2"/>
      </rPr>
      <t>ret</t>
    </r>
    <r>
      <rPr>
        <sz val="10"/>
        <color theme="1"/>
        <rFont val="Verdana"/>
        <family val="2"/>
      </rPr>
      <t>) * (1-F</t>
    </r>
    <r>
      <rPr>
        <vertAlign val="subscript"/>
        <sz val="10"/>
        <color theme="1"/>
        <rFont val="Verdana"/>
        <family val="2"/>
      </rPr>
      <t>dis</t>
    </r>
    <r>
      <rPr>
        <sz val="10"/>
        <color theme="1"/>
        <rFont val="Verdana"/>
        <family val="2"/>
      </rPr>
      <t>) / T</t>
    </r>
    <r>
      <rPr>
        <vertAlign val="subscript"/>
        <sz val="10"/>
        <color theme="1"/>
        <rFont val="Verdana"/>
        <family val="2"/>
      </rPr>
      <t>release</t>
    </r>
  </si>
  <si>
    <r>
      <t>kg.ha</t>
    </r>
    <r>
      <rPr>
        <vertAlign val="superscript"/>
        <sz val="10"/>
        <rFont val="Verdana"/>
        <family val="2"/>
      </rPr>
      <t>-1</t>
    </r>
    <r>
      <rPr>
        <sz val="10"/>
        <rFont val="Verdana"/>
        <family val="2"/>
      </rPr>
      <t>.application</t>
    </r>
    <r>
      <rPr>
        <vertAlign val="superscript"/>
        <sz val="10"/>
        <rFont val="Verdana"/>
        <family val="2"/>
      </rPr>
      <t>-1</t>
    </r>
    <r>
      <rPr>
        <sz val="10"/>
        <rFont val="Verdana"/>
        <family val="2"/>
      </rPr>
      <t>.year</t>
    </r>
    <r>
      <rPr>
        <vertAlign val="superscript"/>
        <sz val="10"/>
        <rFont val="Verdana"/>
        <family val="2"/>
      </rPr>
      <t>-1</t>
    </r>
  </si>
  <si>
    <r>
      <t>E</t>
    </r>
    <r>
      <rPr>
        <b/>
        <vertAlign val="subscript"/>
        <sz val="10"/>
        <rFont val="Verdana"/>
        <family val="2"/>
      </rPr>
      <t>soil,inj</t>
    </r>
    <r>
      <rPr>
        <b/>
        <sz val="10"/>
        <rFont val="Verdana"/>
        <family val="2"/>
      </rPr>
      <t xml:space="preserve"> </t>
    </r>
    <r>
      <rPr>
        <sz val="10"/>
        <rFont val="Verdana"/>
        <family val="2"/>
      </rPr>
      <t>= AREA</t>
    </r>
    <r>
      <rPr>
        <vertAlign val="subscript"/>
        <sz val="10"/>
        <rFont val="Verdana"/>
        <family val="2"/>
      </rPr>
      <t>pole,inj</t>
    </r>
    <r>
      <rPr>
        <sz val="10"/>
        <rFont val="Verdana"/>
        <family val="2"/>
      </rPr>
      <t xml:space="preserve"> * Q</t>
    </r>
    <r>
      <rPr>
        <vertAlign val="subscript"/>
        <sz val="10"/>
        <rFont val="Verdana"/>
        <family val="2"/>
      </rPr>
      <t>applic,product</t>
    </r>
    <r>
      <rPr>
        <sz val="10"/>
        <rFont val="Verdana"/>
        <family val="2"/>
      </rPr>
      <t xml:space="preserve"> * f</t>
    </r>
    <r>
      <rPr>
        <vertAlign val="subscript"/>
        <sz val="10"/>
        <rFont val="Verdana"/>
        <family val="2"/>
      </rPr>
      <t>ai</t>
    </r>
    <r>
      <rPr>
        <sz val="10"/>
        <rFont val="Verdana"/>
        <family val="2"/>
      </rPr>
      <t xml:space="preserve"> * RHO</t>
    </r>
    <r>
      <rPr>
        <vertAlign val="subscript"/>
        <sz val="10"/>
        <rFont val="Verdana"/>
        <family val="2"/>
      </rPr>
      <t>product</t>
    </r>
    <r>
      <rPr>
        <sz val="10"/>
        <rFont val="Verdana"/>
        <family val="2"/>
      </rPr>
      <t xml:space="preserve"> * F</t>
    </r>
    <r>
      <rPr>
        <vertAlign val="subscript"/>
        <sz val="10"/>
        <rFont val="Verdana"/>
        <family val="2"/>
      </rPr>
      <t>soil,inj</t>
    </r>
    <r>
      <rPr>
        <sz val="10"/>
        <rFont val="Verdana"/>
        <family val="2"/>
      </rPr>
      <t xml:space="preserve"> * 10</t>
    </r>
    <r>
      <rPr>
        <vertAlign val="superscript"/>
        <sz val="10"/>
        <rFont val="Verdana"/>
        <family val="2"/>
      </rPr>
      <t xml:space="preserve">3 </t>
    </r>
    <r>
      <rPr>
        <sz val="10"/>
        <rFont val="Verdana"/>
        <family val="2"/>
      </rPr>
      <t>(if Q</t>
    </r>
    <r>
      <rPr>
        <vertAlign val="subscript"/>
        <sz val="10"/>
        <rFont val="Verdana"/>
        <family val="2"/>
      </rPr>
      <t>applic,product</t>
    </r>
    <r>
      <rPr>
        <sz val="10"/>
        <rFont val="Verdana"/>
        <family val="2"/>
      </rPr>
      <t xml:space="preserve"> provided in l.m</t>
    </r>
    <r>
      <rPr>
        <vertAlign val="superscript"/>
        <sz val="10"/>
        <rFont val="Verdana"/>
        <family val="2"/>
      </rPr>
      <t>-2</t>
    </r>
    <r>
      <rPr>
        <sz val="10"/>
        <rFont val="Verdana"/>
        <family val="2"/>
      </rPr>
      <t xml:space="preserve">)
</t>
    </r>
    <r>
      <rPr>
        <b/>
        <sz val="10"/>
        <rFont val="Verdana"/>
        <family val="2"/>
      </rPr>
      <t>E</t>
    </r>
    <r>
      <rPr>
        <b/>
        <vertAlign val="subscript"/>
        <sz val="10"/>
        <rFont val="Verdana"/>
        <family val="2"/>
      </rPr>
      <t>soil,inj</t>
    </r>
    <r>
      <rPr>
        <sz val="10"/>
        <rFont val="Verdana"/>
        <family val="2"/>
      </rPr>
      <t xml:space="preserve"> = AREA</t>
    </r>
    <r>
      <rPr>
        <vertAlign val="subscript"/>
        <sz val="10"/>
        <rFont val="Verdana"/>
        <family val="2"/>
      </rPr>
      <t>pole,inj</t>
    </r>
    <r>
      <rPr>
        <sz val="10"/>
        <rFont val="Verdana"/>
        <family val="2"/>
      </rPr>
      <t xml:space="preserve"> * Q</t>
    </r>
    <r>
      <rPr>
        <vertAlign val="subscript"/>
        <sz val="10"/>
        <rFont val="Verdana"/>
        <family val="2"/>
      </rPr>
      <t>applic,product</t>
    </r>
    <r>
      <rPr>
        <sz val="10"/>
        <rFont val="Verdana"/>
        <family val="2"/>
      </rPr>
      <t xml:space="preserve"> * f</t>
    </r>
    <r>
      <rPr>
        <vertAlign val="subscript"/>
        <sz val="10"/>
        <rFont val="Verdana"/>
        <family val="2"/>
      </rPr>
      <t>ai</t>
    </r>
    <r>
      <rPr>
        <sz val="10"/>
        <rFont val="Verdana"/>
        <family val="2"/>
      </rPr>
      <t xml:space="preserve"> * F</t>
    </r>
    <r>
      <rPr>
        <vertAlign val="subscript"/>
        <sz val="10"/>
        <rFont val="Verdana"/>
        <family val="2"/>
      </rPr>
      <t>soil,inj</t>
    </r>
    <r>
      <rPr>
        <sz val="10"/>
        <rFont val="Verdana"/>
        <family val="2"/>
      </rPr>
      <t xml:space="preserve"> * 10</t>
    </r>
    <r>
      <rPr>
        <vertAlign val="superscript"/>
        <sz val="10"/>
        <rFont val="Verdana"/>
        <family val="2"/>
      </rPr>
      <t>6</t>
    </r>
    <r>
      <rPr>
        <sz val="10"/>
        <rFont val="Verdana"/>
        <family val="2"/>
      </rPr>
      <t xml:space="preserve"> (if Q</t>
    </r>
    <r>
      <rPr>
        <vertAlign val="subscript"/>
        <sz val="10"/>
        <rFont val="Verdana"/>
        <family val="2"/>
      </rPr>
      <t>applic,product</t>
    </r>
    <r>
      <rPr>
        <sz val="10"/>
        <rFont val="Verdana"/>
        <family val="2"/>
      </rPr>
      <t xml:space="preserve"> provided in kg.m</t>
    </r>
    <r>
      <rPr>
        <vertAlign val="superscript"/>
        <sz val="10"/>
        <rFont val="Verdana"/>
        <family val="2"/>
      </rPr>
      <t>-2</t>
    </r>
    <r>
      <rPr>
        <sz val="10"/>
        <rFont val="Verdana"/>
        <family val="2"/>
      </rPr>
      <t>)</t>
    </r>
  </si>
  <si>
    <r>
      <t xml:space="preserve">TIME1 is not covered since is less than 1 year.
</t>
    </r>
    <r>
      <rPr>
        <b/>
        <sz val="10"/>
        <rFont val="Verdana"/>
        <family val="2"/>
      </rPr>
      <t xml:space="preserve">
Application rate</t>
    </r>
    <r>
      <rPr>
        <sz val="10"/>
        <rFont val="Verdana"/>
        <family val="2"/>
      </rPr>
      <t xml:space="preserve"> = (Q</t>
    </r>
    <r>
      <rPr>
        <vertAlign val="subscript"/>
        <sz val="10"/>
        <rFont val="Verdana"/>
        <family val="2"/>
      </rPr>
      <t>leach,TIME2/3</t>
    </r>
    <r>
      <rPr>
        <sz val="10"/>
        <rFont val="Verdana"/>
        <family val="2"/>
      </rPr>
      <t xml:space="preserve"> * 365)/(TIME2/3 * 10 * 1000000)
</t>
    </r>
  </si>
  <si>
    <r>
      <t>Q</t>
    </r>
    <r>
      <rPr>
        <vertAlign val="subscript"/>
        <sz val="10"/>
        <rFont val="Verdana"/>
        <family val="2"/>
      </rPr>
      <t>leach,storage,TIME1</t>
    </r>
  </si>
  <si>
    <r>
      <t>Q</t>
    </r>
    <r>
      <rPr>
        <vertAlign val="subscript"/>
        <sz val="10"/>
        <rFont val="Verdana"/>
        <family val="2"/>
      </rPr>
      <t>leach,storage,TIME2</t>
    </r>
  </si>
  <si>
    <t>l.m-2</t>
  </si>
  <si>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soil,inj</t>
    </r>
    <r>
      <rPr>
        <sz val="10"/>
        <rFont val="Verdana"/>
        <family val="2"/>
      </rPr>
      <t>] * e</t>
    </r>
    <r>
      <rPr>
        <vertAlign val="superscript"/>
        <sz val="10"/>
        <rFont val="Verdana"/>
        <family val="2"/>
      </rPr>
      <t>-TIME1*k</t>
    </r>
  </si>
  <si>
    <r>
      <rPr>
        <b/>
        <sz val="10"/>
        <rFont val="Verdana"/>
        <family val="2"/>
      </rPr>
      <t>Clocal</t>
    </r>
    <r>
      <rPr>
        <b/>
        <vertAlign val="subscript"/>
        <sz val="10"/>
        <rFont val="Verdana"/>
        <family val="2"/>
      </rPr>
      <t>soil,TIME2</t>
    </r>
    <r>
      <rPr>
        <sz val="10"/>
        <rFont val="Verdana"/>
        <family val="2"/>
      </rPr>
      <t xml:space="preserve">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soil,inj</t>
    </r>
    <r>
      <rPr>
        <sz val="10"/>
        <rFont val="Verdana"/>
        <family val="2"/>
      </rPr>
      <t>] * e</t>
    </r>
    <r>
      <rPr>
        <vertAlign val="superscript"/>
        <sz val="10"/>
        <rFont val="Verdana"/>
        <family val="2"/>
      </rPr>
      <t>-TIME2*k</t>
    </r>
  </si>
  <si>
    <r>
      <rPr>
        <b/>
        <sz val="10"/>
        <rFont val="Verdana"/>
        <family val="2"/>
      </rPr>
      <t>Clocal</t>
    </r>
    <r>
      <rPr>
        <b/>
        <vertAlign val="subscript"/>
        <sz val="10"/>
        <rFont val="Verdana"/>
        <family val="2"/>
      </rPr>
      <t>soil,TIME3</t>
    </r>
    <r>
      <rPr>
        <sz val="10"/>
        <rFont val="Verdana"/>
        <family val="2"/>
      </rPr>
      <t xml:space="preserve">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Clocal</t>
    </r>
    <r>
      <rPr>
        <vertAlign val="subscript"/>
        <sz val="10"/>
        <rFont val="Verdana"/>
        <family val="2"/>
      </rPr>
      <t>soil,inj</t>
    </r>
    <r>
      <rPr>
        <sz val="10"/>
        <rFont val="Verdana"/>
        <family val="2"/>
      </rPr>
      <t>] * e</t>
    </r>
    <r>
      <rPr>
        <vertAlign val="superscript"/>
        <sz val="10"/>
        <rFont val="Verdana"/>
        <family val="2"/>
      </rPr>
      <t>-TIME3*k</t>
    </r>
  </si>
  <si>
    <r>
      <rPr>
        <b/>
        <sz val="10"/>
        <rFont val="Verdana"/>
        <family val="2"/>
      </rPr>
      <t>E</t>
    </r>
    <r>
      <rPr>
        <b/>
        <vertAlign val="subscript"/>
        <sz val="10"/>
        <rFont val="Verdana"/>
        <family val="2"/>
      </rPr>
      <t>soil,leach,TIME1</t>
    </r>
    <r>
      <rPr>
        <sz val="10"/>
        <rFont val="Verdana"/>
        <family val="2"/>
      </rPr>
      <t xml:space="preserve"> =</t>
    </r>
    <r>
      <rPr>
        <sz val="10"/>
        <rFont val="Verdana"/>
        <family val="2"/>
      </rPr>
      <t xml:space="preserve"> AREA</t>
    </r>
    <r>
      <rPr>
        <vertAlign val="subscript"/>
        <sz val="10"/>
        <rFont val="Verdana"/>
        <family val="2"/>
      </rPr>
      <t>pole,below</t>
    </r>
    <r>
      <rPr>
        <sz val="10"/>
        <rFont val="Verdana"/>
        <family val="2"/>
      </rPr>
      <t xml:space="preserve"> *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</si>
  <si>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soil,leach,TIME2</t>
    </r>
    <r>
      <rPr>
        <sz val="10"/>
        <rFont val="Verdana"/>
        <family val="2"/>
      </rPr>
      <t xml:space="preserve"> =</t>
    </r>
    <r>
      <rPr>
        <sz val="10"/>
        <rFont val="Verdana"/>
        <family val="2"/>
      </rPr>
      <t xml:space="preserve"> AREA</t>
    </r>
    <r>
      <rPr>
        <vertAlign val="subscript"/>
        <sz val="10"/>
        <rFont val="Verdana"/>
        <family val="2"/>
      </rPr>
      <t>pole,below</t>
    </r>
    <r>
      <rPr>
        <sz val="10"/>
        <rFont val="Verdana"/>
        <family val="2"/>
      </rPr>
      <t xml:space="preserve"> * Q</t>
    </r>
    <r>
      <rPr>
        <vertAlign val="superscript"/>
        <sz val="10"/>
        <rFont val="Verdana"/>
        <family val="2"/>
      </rPr>
      <t>*</t>
    </r>
    <r>
      <rPr>
        <vertAlign val="subscript"/>
        <sz val="10"/>
        <rFont val="Verdana"/>
        <family val="2"/>
      </rPr>
      <t>leach,TIME2</t>
    </r>
    <r>
      <rPr>
        <sz val="10"/>
        <rFont val="Verdana"/>
        <family val="2"/>
      </rPr>
      <t xml:space="preserve"> / TIME2</t>
    </r>
  </si>
  <si>
    <r>
      <rPr>
        <b/>
        <sz val="10"/>
        <rFont val="Verdana"/>
        <family val="2"/>
      </rPr>
      <t>E</t>
    </r>
    <r>
      <rPr>
        <b/>
        <vertAlign val="subscript"/>
        <sz val="10"/>
        <rFont val="Verdana"/>
        <family val="2"/>
      </rPr>
      <t>soil,leach,TIME3</t>
    </r>
    <r>
      <rPr>
        <sz val="10"/>
        <rFont val="Verdana"/>
        <family val="2"/>
      </rPr>
      <t xml:space="preserve"> = AREA</t>
    </r>
    <r>
      <rPr>
        <vertAlign val="subscript"/>
        <sz val="10"/>
        <rFont val="Verdana"/>
        <family val="2"/>
      </rPr>
      <t>pole,below</t>
    </r>
    <r>
      <rPr>
        <sz val="10"/>
        <rFont val="Verdana"/>
        <family val="2"/>
      </rPr>
      <t xml:space="preserve"> * Q</t>
    </r>
    <r>
      <rPr>
        <vertAlign val="superscript"/>
        <sz val="10"/>
        <rFont val="Verdana"/>
        <family val="2"/>
      </rPr>
      <t>*</t>
    </r>
    <r>
      <rPr>
        <vertAlign val="subscript"/>
        <sz val="10"/>
        <rFont val="Verdana"/>
        <family val="2"/>
      </rPr>
      <t>leach,TIME3</t>
    </r>
    <r>
      <rPr>
        <sz val="10"/>
        <rFont val="Verdana"/>
        <family val="2"/>
      </rPr>
      <t xml:space="preserve"> / TIME3</t>
    </r>
  </si>
  <si>
    <r>
      <rPr>
        <b/>
        <sz val="10"/>
        <rFont val="Verdana"/>
        <family val="2"/>
      </rPr>
      <t>E</t>
    </r>
    <r>
      <rPr>
        <b/>
        <vertAlign val="subscript"/>
        <sz val="10"/>
        <rFont val="Verdana"/>
        <family val="2"/>
      </rPr>
      <t>soil,leach,TIME2</t>
    </r>
    <r>
      <rPr>
        <sz val="10"/>
        <rFont val="Verdana"/>
        <family val="2"/>
      </rPr>
      <t xml:space="preserve"> = </t>
    </r>
    <r>
      <rPr>
        <sz val="10"/>
        <rFont val="Verdana"/>
        <family val="2"/>
      </rPr>
      <t>AREA</t>
    </r>
    <r>
      <rPr>
        <vertAlign val="subscript"/>
        <sz val="10"/>
        <rFont val="Verdana"/>
        <family val="2"/>
      </rPr>
      <t>pole,below</t>
    </r>
    <r>
      <rPr>
        <sz val="10"/>
        <rFont val="Verdana"/>
        <family val="2"/>
      </rPr>
      <t xml:space="preserve"> * Q</t>
    </r>
    <r>
      <rPr>
        <vertAlign val="superscript"/>
        <sz val="10"/>
        <rFont val="Verdana"/>
        <family val="2"/>
      </rPr>
      <t>*</t>
    </r>
    <r>
      <rPr>
        <vertAlign val="subscript"/>
        <sz val="10"/>
        <rFont val="Verdana"/>
        <family val="2"/>
      </rPr>
      <t>leach,TIME2</t>
    </r>
    <r>
      <rPr>
        <sz val="10"/>
        <rFont val="Verdana"/>
        <family val="2"/>
      </rPr>
      <t xml:space="preserve"> / TIME2</t>
    </r>
  </si>
  <si>
    <r>
      <rPr>
        <b/>
        <sz val="10"/>
        <rFont val="Verdana"/>
        <family val="2"/>
      </rPr>
      <t>E</t>
    </r>
    <r>
      <rPr>
        <b/>
        <vertAlign val="subscript"/>
        <sz val="10"/>
        <rFont val="Verdana"/>
        <family val="2"/>
      </rPr>
      <t>soil,leach,TIME3</t>
    </r>
    <r>
      <rPr>
        <sz val="10"/>
        <rFont val="Verdana"/>
        <family val="2"/>
      </rPr>
      <t xml:space="preserve"> =</t>
    </r>
    <r>
      <rPr>
        <sz val="10"/>
        <rFont val="Verdana"/>
        <family val="2"/>
      </rPr>
      <t xml:space="preserve"> AREA</t>
    </r>
    <r>
      <rPr>
        <vertAlign val="subscript"/>
        <sz val="10"/>
        <rFont val="Verdana"/>
        <family val="2"/>
      </rPr>
      <t>pole,below</t>
    </r>
    <r>
      <rPr>
        <sz val="10"/>
        <rFont val="Verdana"/>
        <family val="2"/>
      </rPr>
      <t xml:space="preserve"> * Q</t>
    </r>
    <r>
      <rPr>
        <vertAlign val="superscript"/>
        <sz val="10"/>
        <rFont val="Verdana"/>
        <family val="2"/>
      </rPr>
      <t>*</t>
    </r>
    <r>
      <rPr>
        <vertAlign val="subscript"/>
        <sz val="10"/>
        <rFont val="Verdana"/>
        <family val="2"/>
      </rPr>
      <t>leach,TIME3</t>
    </r>
    <r>
      <rPr>
        <sz val="10"/>
        <rFont val="Verdana"/>
        <family val="2"/>
      </rPr>
      <t xml:space="preserve"> / TIME3</t>
    </r>
  </si>
  <si>
    <r>
      <rPr>
        <b/>
        <sz val="10"/>
        <rFont val="Verdana"/>
        <family val="2"/>
      </rPr>
      <t>E</t>
    </r>
    <r>
      <rPr>
        <b/>
        <vertAlign val="subscript"/>
        <sz val="10"/>
        <rFont val="Verdana"/>
        <family val="2"/>
      </rPr>
      <t>soil,leach,TIME1</t>
    </r>
    <r>
      <rPr>
        <sz val="10"/>
        <rFont val="Verdana"/>
        <family val="2"/>
      </rPr>
      <t xml:space="preserve"> = </t>
    </r>
    <r>
      <rPr>
        <sz val="10"/>
        <rFont val="Verdana"/>
        <family val="2"/>
      </rPr>
      <t>AREA</t>
    </r>
    <r>
      <rPr>
        <vertAlign val="subscript"/>
        <sz val="10"/>
        <rFont val="Verdana"/>
        <family val="2"/>
      </rPr>
      <t>pole,below</t>
    </r>
    <r>
      <rPr>
        <sz val="10"/>
        <rFont val="Verdana"/>
        <family val="2"/>
      </rPr>
      <t xml:space="preserve"> *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</si>
  <si>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soil,leach,TIME1</t>
    </r>
    <r>
      <rPr>
        <sz val="10"/>
        <rFont val="Verdana"/>
        <family val="2"/>
      </rPr>
      <t xml:space="preserve"> = AREA</t>
    </r>
    <r>
      <rPr>
        <vertAlign val="subscript"/>
        <sz val="10"/>
        <rFont val="Verdana"/>
        <family val="2"/>
      </rPr>
      <t>house_leachable</t>
    </r>
    <r>
      <rPr>
        <sz val="10"/>
        <rFont val="Verdana"/>
        <family val="2"/>
      </rPr>
      <t xml:space="preserve"> * Q</t>
    </r>
    <r>
      <rPr>
        <vertAlign val="superscript"/>
        <sz val="10"/>
        <rFont val="Verdana"/>
        <family val="2"/>
      </rPr>
      <t>*</t>
    </r>
    <r>
      <rPr>
        <vertAlign val="subscript"/>
        <sz val="10"/>
        <rFont val="Verdana"/>
        <family val="2"/>
      </rPr>
      <t>leach,TIME1</t>
    </r>
    <r>
      <rPr>
        <sz val="10"/>
        <rFont val="Verdana"/>
        <family val="2"/>
      </rPr>
      <t xml:space="preserve"> / TIME1</t>
    </r>
  </si>
  <si>
    <r>
      <rPr>
        <b/>
        <sz val="10"/>
        <rFont val="Verdana"/>
        <family val="2"/>
      </rPr>
      <t>E</t>
    </r>
    <r>
      <rPr>
        <b/>
        <vertAlign val="subscript"/>
        <sz val="10"/>
        <rFont val="Verdana"/>
        <family val="2"/>
      </rPr>
      <t>soil,leach,TIME2</t>
    </r>
    <r>
      <rPr>
        <sz val="10"/>
        <rFont val="Verdana"/>
        <family val="2"/>
      </rPr>
      <t xml:space="preserve"> = AREA</t>
    </r>
    <r>
      <rPr>
        <vertAlign val="subscript"/>
        <sz val="10"/>
        <rFont val="Verdana"/>
        <family val="2"/>
      </rPr>
      <t>house_leachable</t>
    </r>
    <r>
      <rPr>
        <sz val="10"/>
        <rFont val="Verdana"/>
        <family val="2"/>
      </rPr>
      <t xml:space="preserve"> * Q</t>
    </r>
    <r>
      <rPr>
        <vertAlign val="superscript"/>
        <sz val="10"/>
        <rFont val="Verdana"/>
        <family val="2"/>
      </rPr>
      <t>*</t>
    </r>
    <r>
      <rPr>
        <vertAlign val="subscript"/>
        <sz val="10"/>
        <rFont val="Verdana"/>
        <family val="2"/>
      </rPr>
      <t>leach,TIME2</t>
    </r>
    <r>
      <rPr>
        <sz val="10"/>
        <rFont val="Verdana"/>
        <family val="2"/>
      </rPr>
      <t xml:space="preserve"> / TIME2</t>
    </r>
  </si>
  <si>
    <r>
      <rPr>
        <b/>
        <sz val="10"/>
        <rFont val="Verdana"/>
        <family val="2"/>
      </rPr>
      <t>E</t>
    </r>
    <r>
      <rPr>
        <b/>
        <vertAlign val="subscript"/>
        <sz val="10"/>
        <rFont val="Verdana"/>
        <family val="2"/>
      </rPr>
      <t>soil,leach,TIME3</t>
    </r>
    <r>
      <rPr>
        <sz val="10"/>
        <rFont val="Verdana"/>
        <family val="2"/>
      </rPr>
      <t xml:space="preserve"> = AREA</t>
    </r>
    <r>
      <rPr>
        <vertAlign val="subscript"/>
        <sz val="10"/>
        <rFont val="Verdana"/>
        <family val="2"/>
      </rPr>
      <t>house_leachable</t>
    </r>
    <r>
      <rPr>
        <sz val="10"/>
        <rFont val="Verdana"/>
        <family val="2"/>
      </rPr>
      <t xml:space="preserve"> * Q</t>
    </r>
    <r>
      <rPr>
        <vertAlign val="superscript"/>
        <sz val="10"/>
        <rFont val="Verdana"/>
        <family val="2"/>
      </rPr>
      <t>*</t>
    </r>
    <r>
      <rPr>
        <vertAlign val="subscript"/>
        <sz val="10"/>
        <rFont val="Verdana"/>
        <family val="2"/>
      </rPr>
      <t>leach,TIME3</t>
    </r>
    <r>
      <rPr>
        <sz val="10"/>
        <rFont val="Verdana"/>
        <family val="2"/>
      </rPr>
      <t xml:space="preserve"> / TIME3</t>
    </r>
  </si>
  <si>
    <t>Emissions from product application (=House scenario) (ESD Table 4.38, p.113)</t>
  </si>
  <si>
    <t>Emissions from leaching (Service life, House scenario) (ESD Table 4.39. p.114)</t>
  </si>
  <si>
    <t>Local concentrations from application + subsequent leaching from treated wood (ESD p.92)</t>
  </si>
  <si>
    <r>
      <t>kg.m</t>
    </r>
    <r>
      <rPr>
        <vertAlign val="superscript"/>
        <sz val="10"/>
        <rFont val="Verdana"/>
        <family val="2"/>
      </rPr>
      <t>-2</t>
    </r>
  </si>
  <si>
    <r>
      <rPr>
        <b/>
        <sz val="10"/>
        <rFont val="Verdana"/>
        <family val="2"/>
      </rPr>
      <t>Q</t>
    </r>
    <r>
      <rPr>
        <b/>
        <vertAlign val="subscript"/>
        <sz val="10"/>
        <rFont val="Verdana"/>
        <family val="2"/>
      </rPr>
      <t>ai</t>
    </r>
    <r>
      <rPr>
        <vertAlign val="subscript"/>
        <sz val="10"/>
        <rFont val="Verdana"/>
        <family val="2"/>
      </rPr>
      <t xml:space="preserve"> </t>
    </r>
    <r>
      <rPr>
        <sz val="10"/>
        <rFont val="Verdana"/>
        <family val="2"/>
      </rPr>
      <t>= Q</t>
    </r>
    <r>
      <rPr>
        <vertAlign val="subscript"/>
        <sz val="10"/>
        <rFont val="Verdana"/>
        <family val="2"/>
      </rPr>
      <t>product-solid</t>
    </r>
    <r>
      <rPr>
        <sz val="10"/>
        <rFont val="Verdana"/>
        <family val="2"/>
      </rPr>
      <t xml:space="preserve"> * C</t>
    </r>
    <r>
      <rPr>
        <vertAlign val="subscript"/>
        <sz val="10"/>
        <rFont val="Verdana"/>
        <family val="2"/>
      </rPr>
      <t xml:space="preserve">ai </t>
    </r>
    <r>
      <rPr>
        <sz val="10"/>
        <rFont val="Verdana"/>
        <family val="2"/>
      </rPr>
      <t xml:space="preserve">
</t>
    </r>
    <r>
      <rPr>
        <b/>
        <sz val="10"/>
        <rFont val="Verdana"/>
        <family val="2"/>
      </rPr>
      <t>Q</t>
    </r>
    <r>
      <rPr>
        <b/>
        <vertAlign val="subscript"/>
        <sz val="10"/>
        <rFont val="Verdana"/>
        <family val="2"/>
      </rPr>
      <t>ai</t>
    </r>
    <r>
      <rPr>
        <vertAlign val="subscript"/>
        <sz val="10"/>
        <rFont val="Verdana"/>
        <family val="2"/>
      </rPr>
      <t xml:space="preserve"> </t>
    </r>
    <r>
      <rPr>
        <sz val="10"/>
        <rFont val="Verdana"/>
        <family val="2"/>
      </rPr>
      <t>= Q</t>
    </r>
    <r>
      <rPr>
        <vertAlign val="subscript"/>
        <sz val="10"/>
        <rFont val="Verdana"/>
        <family val="2"/>
      </rPr>
      <t>product-fluid</t>
    </r>
    <r>
      <rPr>
        <sz val="10"/>
        <rFont val="Verdana"/>
        <family val="2"/>
      </rPr>
      <t xml:space="preserve"> * RHO</t>
    </r>
    <r>
      <rPr>
        <vertAlign val="subscript"/>
        <sz val="10"/>
        <rFont val="Verdana"/>
        <family val="2"/>
      </rPr>
      <t>product</t>
    </r>
    <r>
      <rPr>
        <sz val="10"/>
        <rFont val="Verdana"/>
        <family val="2"/>
      </rPr>
      <t xml:space="preserve"> * C</t>
    </r>
    <r>
      <rPr>
        <vertAlign val="subscript"/>
        <sz val="10"/>
        <rFont val="Verdana"/>
        <family val="2"/>
      </rPr>
      <t>ai</t>
    </r>
    <r>
      <rPr>
        <sz val="10"/>
        <rFont val="Verdana"/>
        <family val="2"/>
      </rPr>
      <t xml:space="preserve"> / 1000</t>
    </r>
  </si>
  <si>
    <t>Local emission to soil resulting from leaching from stored treated wood due to rain run-off, over the initial assessment period</t>
  </si>
  <si>
    <t>Local emission to soil resulting from leaching from stored treated wood due to rain run-off, over a longer assessment period</t>
  </si>
  <si>
    <t>Local emission to surface water resulting from leaching from stored treated wood due to rain run-off, over the initial assessment period</t>
  </si>
  <si>
    <t>Local emission to surface water resulting from leaching from stored treated wood due to rain run-off, over a longer assessment period</t>
  </si>
  <si>
    <t>1. Parameter "concentration of substance in product" replaced by "fraction of active substance in the product" and the calculation of Qai was consequently adapted.</t>
  </si>
  <si>
    <t>Average daily release onto soil of substance due to leaching over the storage duration</t>
  </si>
  <si>
    <r>
      <t>kg.d</t>
    </r>
    <r>
      <rPr>
        <vertAlign val="superscript"/>
        <sz val="10"/>
        <rFont val="Verdana"/>
        <family val="2"/>
      </rPr>
      <t>-1</t>
    </r>
  </si>
  <si>
    <r>
      <t>Elocal</t>
    </r>
    <r>
      <rPr>
        <vertAlign val="subscript"/>
        <sz val="10"/>
        <rFont val="Verdana"/>
        <family val="2"/>
      </rPr>
      <t>soil,TIME1</t>
    </r>
  </si>
  <si>
    <r>
      <rPr>
        <b/>
        <sz val="10"/>
        <rFont val="Verdana"/>
        <family val="2"/>
      </rPr>
      <t>Elocal</t>
    </r>
    <r>
      <rPr>
        <b/>
        <vertAlign val="subscript"/>
        <sz val="10"/>
        <rFont val="Verdana"/>
        <family val="2"/>
      </rPr>
      <t>soil,TIME1</t>
    </r>
    <r>
      <rPr>
        <sz val="10"/>
        <rFont val="Verdana"/>
        <family val="2"/>
      </rPr>
      <t xml:space="preserve"> = Q</t>
    </r>
    <r>
      <rPr>
        <vertAlign val="subscript"/>
        <sz val="10"/>
        <rFont val="Verdana"/>
        <family val="2"/>
      </rPr>
      <t>leach,storage,TIME1</t>
    </r>
    <r>
      <rPr>
        <sz val="10"/>
        <rFont val="Verdana"/>
        <family val="2"/>
      </rPr>
      <t xml:space="preserve"> * (1- F</t>
    </r>
    <r>
      <rPr>
        <vertAlign val="subscript"/>
        <sz val="10"/>
        <rFont val="Verdana"/>
        <family val="2"/>
      </rPr>
      <t>runoff</t>
    </r>
    <r>
      <rPr>
        <sz val="10"/>
        <rFont val="Verdana"/>
        <family val="2"/>
      </rPr>
      <t>) / TIME1</t>
    </r>
  </si>
  <si>
    <r>
      <t>Elocal</t>
    </r>
    <r>
      <rPr>
        <vertAlign val="subscript"/>
        <sz val="10"/>
        <rFont val="Verdana"/>
        <family val="2"/>
      </rPr>
      <t>soil,TIME2</t>
    </r>
  </si>
  <si>
    <r>
      <rPr>
        <b/>
        <sz val="10"/>
        <rFont val="Verdana"/>
        <family val="2"/>
      </rPr>
      <t>Elocal</t>
    </r>
    <r>
      <rPr>
        <b/>
        <vertAlign val="subscript"/>
        <sz val="10"/>
        <rFont val="Verdana"/>
        <family val="2"/>
      </rPr>
      <t>soil,TIME2</t>
    </r>
    <r>
      <rPr>
        <sz val="10"/>
        <rFont val="Verdana"/>
        <family val="2"/>
      </rPr>
      <t xml:space="preserve"> = Q</t>
    </r>
    <r>
      <rPr>
        <vertAlign val="subscript"/>
        <sz val="10"/>
        <rFont val="Verdana"/>
        <family val="2"/>
      </rPr>
      <t>leach,storage,TIME2</t>
    </r>
    <r>
      <rPr>
        <sz val="10"/>
        <rFont val="Verdana"/>
        <family val="2"/>
      </rPr>
      <t xml:space="preserve"> * (1- F</t>
    </r>
    <r>
      <rPr>
        <vertAlign val="subscript"/>
        <sz val="10"/>
        <rFont val="Verdana"/>
        <family val="2"/>
      </rPr>
      <t>runoff</t>
    </r>
    <r>
      <rPr>
        <sz val="10"/>
        <rFont val="Verdana"/>
        <family val="2"/>
      </rPr>
      <t>) / TIME2</t>
    </r>
  </si>
  <si>
    <r>
      <t>Application rate may be provided in kg.m</t>
    </r>
    <r>
      <rPr>
        <vertAlign val="superscript"/>
        <sz val="10"/>
        <rFont val="Verdana"/>
        <family val="2"/>
      </rPr>
      <t>-2</t>
    </r>
    <r>
      <rPr>
        <sz val="10"/>
        <rFont val="Verdana"/>
        <family val="2"/>
      </rPr>
      <t>. Please convert the value to kg.m</t>
    </r>
    <r>
      <rPr>
        <vertAlign val="superscript"/>
        <sz val="10"/>
        <rFont val="Verdana"/>
        <family val="2"/>
      </rPr>
      <t>-3</t>
    </r>
    <r>
      <rPr>
        <sz val="10"/>
        <rFont val="Verdana"/>
        <family val="2"/>
      </rPr>
      <t xml:space="preserve"> by multiplying it by a factor of 40 (agreed at WG-IV-2017).</t>
    </r>
  </si>
  <si>
    <r>
      <t>Elocal</t>
    </r>
    <r>
      <rPr>
        <vertAlign val="subscript"/>
        <sz val="10"/>
        <rFont val="Verdana"/>
        <family val="2"/>
      </rPr>
      <t>surfacewater,TIME1</t>
    </r>
  </si>
  <si>
    <r>
      <rPr>
        <b/>
        <sz val="10"/>
        <rFont val="Verdana"/>
        <family val="2"/>
      </rPr>
      <t>Elocal</t>
    </r>
    <r>
      <rPr>
        <b/>
        <vertAlign val="subscript"/>
        <sz val="10"/>
        <rFont val="Verdana"/>
        <family val="2"/>
      </rPr>
      <t>surfacewater,TIME1</t>
    </r>
    <r>
      <rPr>
        <sz val="10"/>
        <rFont val="Verdana"/>
        <family val="2"/>
      </rPr>
      <t xml:space="preserve"> = Q</t>
    </r>
    <r>
      <rPr>
        <vertAlign val="subscript"/>
        <sz val="10"/>
        <rFont val="Verdana"/>
        <family val="2"/>
      </rPr>
      <t>leach,storage,TIME1</t>
    </r>
    <r>
      <rPr>
        <sz val="10"/>
        <rFont val="Verdana"/>
        <family val="2"/>
      </rPr>
      <t xml:space="preserve"> * F</t>
    </r>
    <r>
      <rPr>
        <vertAlign val="subscript"/>
        <sz val="10"/>
        <rFont val="Verdana"/>
        <family val="2"/>
      </rPr>
      <t>runoff</t>
    </r>
    <r>
      <rPr>
        <sz val="10"/>
        <rFont val="Verdana"/>
        <family val="2"/>
      </rPr>
      <t xml:space="preserve"> / TIME1</t>
    </r>
  </si>
  <si>
    <r>
      <t>Elocal</t>
    </r>
    <r>
      <rPr>
        <vertAlign val="subscript"/>
        <sz val="10"/>
        <rFont val="Verdana"/>
        <family val="2"/>
      </rPr>
      <t>surfacewater,TIME2</t>
    </r>
  </si>
  <si>
    <r>
      <rPr>
        <b/>
        <sz val="10"/>
        <rFont val="Verdana"/>
        <family val="2"/>
      </rPr>
      <t>Elocal</t>
    </r>
    <r>
      <rPr>
        <b/>
        <vertAlign val="subscript"/>
        <sz val="10"/>
        <rFont val="Verdana"/>
        <family val="2"/>
      </rPr>
      <t>surfacewater,TIME2</t>
    </r>
    <r>
      <rPr>
        <sz val="10"/>
        <rFont val="Verdana"/>
        <family val="2"/>
      </rPr>
      <t xml:space="preserve"> = Q</t>
    </r>
    <r>
      <rPr>
        <vertAlign val="subscript"/>
        <sz val="10"/>
        <rFont val="Verdana"/>
        <family val="2"/>
      </rPr>
      <t>leach,storage,TIME2</t>
    </r>
    <r>
      <rPr>
        <sz val="10"/>
        <rFont val="Verdana"/>
        <family val="2"/>
      </rPr>
      <t xml:space="preserve"> * F</t>
    </r>
    <r>
      <rPr>
        <vertAlign val="subscript"/>
        <sz val="10"/>
        <rFont val="Verdana"/>
        <family val="2"/>
      </rPr>
      <t>runoff</t>
    </r>
    <r>
      <rPr>
        <sz val="10"/>
        <rFont val="Verdana"/>
        <family val="2"/>
      </rPr>
      <t xml:space="preserve"> / TIME2</t>
    </r>
  </si>
  <si>
    <t xml:space="preserve">  </t>
  </si>
  <si>
    <r>
      <t>2. In order to calculate the concentrations after removal processes, provide the following additional information in the "Input" table: k</t>
    </r>
    <r>
      <rPr>
        <vertAlign val="subscript"/>
        <sz val="10"/>
        <rFont val="Verdana"/>
        <family val="2"/>
      </rPr>
      <t xml:space="preserve"> and</t>
    </r>
    <r>
      <rPr>
        <sz val="10"/>
        <rFont val="Verdana"/>
        <family val="2"/>
      </rPr>
      <t xml:space="preserve"> K</t>
    </r>
    <r>
      <rPr>
        <vertAlign val="subscript"/>
        <sz val="10"/>
        <rFont val="Verdana"/>
        <family val="2"/>
      </rPr>
      <t>soil-water</t>
    </r>
    <r>
      <rPr>
        <sz val="10"/>
        <rFont val="Verdana"/>
        <family val="2"/>
      </rPr>
      <t>.</t>
    </r>
  </si>
  <si>
    <t>3. The "Intermediate calculations" and the "Output" tables will be automatically filled in.</t>
  </si>
  <si>
    <t>1. Calculation of local emission to soil added to the storage scenario (storage of treated wood prior to shipping).</t>
  </si>
  <si>
    <r>
      <t>Average daily release onto soil of substance due to leaching over the storage duration</t>
    </r>
    <r>
      <rPr>
        <strike/>
        <sz val="10"/>
        <color rgb="FFFF0000"/>
        <rFont val="Verdana"/>
        <family val="2"/>
      </rPr>
      <t/>
    </r>
  </si>
  <si>
    <t>Local emission to air</t>
  </si>
  <si>
    <t>Local emission to wastewater</t>
  </si>
  <si>
    <r>
      <t>Elocal</t>
    </r>
    <r>
      <rPr>
        <vertAlign val="subscript"/>
        <sz val="10"/>
        <color theme="1"/>
        <rFont val="Verdana"/>
        <family val="2"/>
      </rPr>
      <t>wastewater</t>
    </r>
  </si>
  <si>
    <t>Fraction released to wastewater</t>
  </si>
  <si>
    <r>
      <t>F</t>
    </r>
    <r>
      <rPr>
        <vertAlign val="subscript"/>
        <sz val="10"/>
        <color theme="1"/>
        <rFont val="Verdana"/>
        <family val="2"/>
      </rPr>
      <t>wastewater</t>
    </r>
  </si>
  <si>
    <r>
      <rPr>
        <b/>
        <sz val="10"/>
        <color theme="1"/>
        <rFont val="Verdana"/>
        <family val="2"/>
      </rPr>
      <t>Elocal</t>
    </r>
    <r>
      <rPr>
        <b/>
        <vertAlign val="subscript"/>
        <sz val="10"/>
        <color theme="1"/>
        <rFont val="Verdana"/>
        <family val="2"/>
      </rPr>
      <t>wastewater</t>
    </r>
    <r>
      <rPr>
        <b/>
        <sz val="10"/>
        <color theme="1"/>
        <rFont val="Verdana"/>
        <family val="2"/>
      </rPr>
      <t xml:space="preserve"> </t>
    </r>
    <r>
      <rPr>
        <sz val="10"/>
        <color theme="1"/>
        <rFont val="Verdana"/>
        <family val="2"/>
      </rPr>
      <t>= Q</t>
    </r>
    <r>
      <rPr>
        <vertAlign val="subscript"/>
        <sz val="10"/>
        <color theme="1"/>
        <rFont val="Verdana"/>
        <family val="2"/>
      </rPr>
      <t>ai</t>
    </r>
    <r>
      <rPr>
        <sz val="10"/>
        <color theme="1"/>
        <rFont val="Verdana"/>
        <family val="2"/>
      </rPr>
      <t xml:space="preserve"> * AREA</t>
    </r>
    <r>
      <rPr>
        <vertAlign val="subscript"/>
        <sz val="10"/>
        <color theme="1"/>
        <rFont val="Verdana"/>
        <family val="2"/>
      </rPr>
      <t>wood-treated</t>
    </r>
    <r>
      <rPr>
        <sz val="10"/>
        <color theme="1"/>
        <rFont val="Verdana"/>
        <family val="2"/>
      </rPr>
      <t xml:space="preserve"> * F</t>
    </r>
    <r>
      <rPr>
        <vertAlign val="subscript"/>
        <sz val="10"/>
        <color theme="1"/>
        <rFont val="Verdana"/>
        <family val="2"/>
      </rPr>
      <t>wastewater</t>
    </r>
  </si>
  <si>
    <r>
      <t>3. Select the substance solubility in water (mg/l); F</t>
    </r>
    <r>
      <rPr>
        <vertAlign val="subscript"/>
        <sz val="10"/>
        <rFont val="Verdana"/>
        <family val="2"/>
      </rPr>
      <t>wastewater</t>
    </r>
    <r>
      <rPr>
        <sz val="10"/>
        <rFont val="Verdana"/>
        <family val="2"/>
      </rPr>
      <t xml:space="preserve"> will be automatically filled in with the corresponding default value.</t>
    </r>
  </si>
  <si>
    <r>
      <t>5. The local emission rate to air (Elocal</t>
    </r>
    <r>
      <rPr>
        <vertAlign val="subscript"/>
        <sz val="10"/>
        <rFont val="Verdana"/>
        <family val="2"/>
      </rPr>
      <t>air</t>
    </r>
    <r>
      <rPr>
        <sz val="10"/>
        <rFont val="Verdana"/>
        <family val="2"/>
      </rPr>
      <t>) and to the wastewater (Elocal</t>
    </r>
    <r>
      <rPr>
        <vertAlign val="subscript"/>
        <sz val="10"/>
        <rFont val="Verdana"/>
        <family val="2"/>
      </rPr>
      <t>wastewater</t>
    </r>
    <r>
      <rPr>
        <sz val="10"/>
        <rFont val="Verdana"/>
        <family val="2"/>
      </rPr>
      <t>) are automatically calculated in the "Output" table.</t>
    </r>
  </si>
  <si>
    <r>
      <t>2. Select the substance solubility in water (mg/l); F</t>
    </r>
    <r>
      <rPr>
        <vertAlign val="subscript"/>
        <sz val="10"/>
        <rFont val="Verdana"/>
        <family val="2"/>
      </rPr>
      <t>wastewater</t>
    </r>
    <r>
      <rPr>
        <sz val="10"/>
        <rFont val="Verdana"/>
        <family val="2"/>
      </rPr>
      <t xml:space="preserve"> will be automatically filled in with the corresponding default value.</t>
    </r>
  </si>
  <si>
    <r>
      <t>4. The local emission rate to air (Elocal</t>
    </r>
    <r>
      <rPr>
        <vertAlign val="subscript"/>
        <sz val="10"/>
        <rFont val="Verdana"/>
        <family val="2"/>
      </rPr>
      <t>air</t>
    </r>
    <r>
      <rPr>
        <sz val="10"/>
        <rFont val="Verdana"/>
        <family val="2"/>
      </rPr>
      <t>) and to the wastewater (Elocal</t>
    </r>
    <r>
      <rPr>
        <vertAlign val="subscript"/>
        <sz val="10"/>
        <rFont val="Verdana"/>
        <family val="2"/>
      </rPr>
      <t>wastewater</t>
    </r>
    <r>
      <rPr>
        <sz val="10"/>
        <rFont val="Verdana"/>
        <family val="2"/>
      </rPr>
      <t>) are automatically calculated in the "Output" table.</t>
    </r>
  </si>
  <si>
    <r>
      <rPr>
        <b/>
        <sz val="10"/>
        <color theme="1"/>
        <rFont val="Verdana"/>
        <family val="2"/>
      </rPr>
      <t>Elocal</t>
    </r>
    <r>
      <rPr>
        <b/>
        <vertAlign val="subscript"/>
        <sz val="10"/>
        <color theme="1"/>
        <rFont val="Verdana"/>
        <family val="2"/>
      </rPr>
      <t>wastewater</t>
    </r>
    <r>
      <rPr>
        <b/>
        <sz val="10"/>
        <color theme="1"/>
        <rFont val="Verdana"/>
        <family val="2"/>
      </rPr>
      <t xml:space="preserve"> </t>
    </r>
    <r>
      <rPr>
        <sz val="10"/>
        <color theme="1"/>
        <rFont val="Verdana"/>
        <family val="2"/>
      </rPr>
      <t>= Q</t>
    </r>
    <r>
      <rPr>
        <vertAlign val="subscript"/>
        <sz val="10"/>
        <color theme="1"/>
        <rFont val="Verdana"/>
        <family val="2"/>
      </rPr>
      <t>ai</t>
    </r>
    <r>
      <rPr>
        <sz val="10"/>
        <color theme="1"/>
        <rFont val="Verdana"/>
        <family val="2"/>
      </rPr>
      <t xml:space="preserve"> * VOLUME</t>
    </r>
    <r>
      <rPr>
        <vertAlign val="subscript"/>
        <sz val="10"/>
        <color theme="1"/>
        <rFont val="Verdana"/>
        <family val="2"/>
      </rPr>
      <t>wood-treated</t>
    </r>
    <r>
      <rPr>
        <sz val="10"/>
        <color theme="1"/>
        <rFont val="Verdana"/>
        <family val="2"/>
      </rPr>
      <t xml:space="preserve"> * F</t>
    </r>
    <r>
      <rPr>
        <vertAlign val="subscript"/>
        <sz val="10"/>
        <color theme="1"/>
        <rFont val="Verdana"/>
        <family val="2"/>
      </rPr>
      <t>wastewater</t>
    </r>
  </si>
  <si>
    <r>
      <t>5. The local emission rate to air (Elocal</t>
    </r>
    <r>
      <rPr>
        <vertAlign val="subscript"/>
        <sz val="10"/>
        <rFont val="Verdana"/>
        <family val="2"/>
      </rPr>
      <t>air</t>
    </r>
    <r>
      <rPr>
        <sz val="10"/>
        <rFont val="Verdana"/>
        <family val="2"/>
      </rPr>
      <t>) and to the facility drain (Elocal</t>
    </r>
    <r>
      <rPr>
        <vertAlign val="subscript"/>
        <sz val="10"/>
        <rFont val="Verdana"/>
        <family val="2"/>
      </rPr>
      <t>wastewater</t>
    </r>
    <r>
      <rPr>
        <sz val="10"/>
        <rFont val="Verdana"/>
        <family val="2"/>
      </rPr>
      <t>) are automatically calculated in the "Output" table.</t>
    </r>
  </si>
  <si>
    <t>4.  To take into account the removal processes (in soil) in the calculation of the concentrations in soil, provide the following additional information in the "Input" table: Ksoil-water and k; these values need to be inserted in the "Input" table in section A.</t>
  </si>
  <si>
    <r>
      <t>4. To take into account the removal processes (in soil) in the calculation of the concentrations in soil, provide the following additional information in the "Input" table: K</t>
    </r>
    <r>
      <rPr>
        <vertAlign val="subscript"/>
        <sz val="10"/>
        <rFont val="Verdana"/>
        <family val="2"/>
      </rPr>
      <t>soil-water</t>
    </r>
    <r>
      <rPr>
        <sz val="10"/>
        <rFont val="Verdana"/>
        <family val="2"/>
      </rPr>
      <t xml:space="preserve"> and k; these will automatically be used in all the calculations in this sheet.</t>
    </r>
  </si>
  <si>
    <t>3.  To take into account the removal processes (in soil) in the calculation of the concentrations in soil, provide the following additional information in the "Input" table: Ksoil-water and k; these values need to be inserted in the "Input" table in section A.</t>
  </si>
  <si>
    <r>
      <t>Follow up of the 2</t>
    </r>
    <r>
      <rPr>
        <vertAlign val="superscript"/>
        <sz val="10"/>
        <rFont val="Verdana"/>
        <family val="2"/>
      </rPr>
      <t>nd</t>
    </r>
    <r>
      <rPr>
        <sz val="10"/>
        <rFont val="Verdana"/>
        <family val="2"/>
      </rPr>
      <t xml:space="preserve"> EU Leaching workshop: The calculation of Time 2 is currently only used for a validation/impact assessment; it should </t>
    </r>
    <r>
      <rPr>
        <b/>
        <sz val="10"/>
        <rFont val="Verdana"/>
        <family val="2"/>
      </rPr>
      <t>not</t>
    </r>
    <r>
      <rPr>
        <sz val="10"/>
        <rFont val="Verdana"/>
        <family val="2"/>
      </rPr>
      <t xml:space="preserve"> be used for decision making!</t>
    </r>
  </si>
  <si>
    <r>
      <t>1. In the "Input" table, insert Q</t>
    </r>
    <r>
      <rPr>
        <vertAlign val="superscript"/>
        <sz val="10"/>
        <rFont val="Verdana"/>
        <family val="2"/>
      </rPr>
      <t>*</t>
    </r>
    <r>
      <rPr>
        <vertAlign val="subscript"/>
        <sz val="10"/>
        <rFont val="Verdana"/>
        <family val="2"/>
      </rPr>
      <t>leach,TIME1</t>
    </r>
    <r>
      <rPr>
        <sz val="10"/>
        <rFont val="Verdana"/>
        <family val="2"/>
      </rPr>
      <t>, Q</t>
    </r>
    <r>
      <rPr>
        <vertAlign val="superscript"/>
        <sz val="10"/>
        <rFont val="Verdana"/>
        <family val="2"/>
      </rPr>
      <t>*</t>
    </r>
    <r>
      <rPr>
        <vertAlign val="subscript"/>
        <sz val="10"/>
        <rFont val="Verdana"/>
        <family val="2"/>
      </rPr>
      <t xml:space="preserve">leach,TIME2 </t>
    </r>
    <r>
      <rPr>
        <sz val="10"/>
        <rFont val="Verdana"/>
        <family val="2"/>
      </rPr>
      <t>and Q*</t>
    </r>
    <r>
      <rPr>
        <vertAlign val="subscript"/>
        <sz val="10"/>
        <rFont val="Verdana"/>
        <family val="2"/>
      </rPr>
      <t>leach,TIME3.</t>
    </r>
  </si>
  <si>
    <t>2. To take into account the removal processes in soil in the calculation of the concentrations in soil enter the Ksoil-water and k values.</t>
  </si>
  <si>
    <r>
      <t>1. In the "Input" table, insert Q</t>
    </r>
    <r>
      <rPr>
        <vertAlign val="superscript"/>
        <sz val="10"/>
        <rFont val="Verdana"/>
        <family val="2"/>
      </rPr>
      <t>*</t>
    </r>
    <r>
      <rPr>
        <vertAlign val="subscript"/>
        <sz val="10"/>
        <rFont val="Verdana"/>
        <family val="2"/>
      </rPr>
      <t>leach,TIME1</t>
    </r>
    <r>
      <rPr>
        <sz val="10"/>
        <rFont val="Verdana"/>
        <family val="2"/>
      </rPr>
      <t>, Q</t>
    </r>
    <r>
      <rPr>
        <vertAlign val="superscript"/>
        <sz val="10"/>
        <rFont val="Verdana"/>
        <family val="2"/>
      </rPr>
      <t>*</t>
    </r>
    <r>
      <rPr>
        <vertAlign val="subscript"/>
        <sz val="10"/>
        <rFont val="Verdana"/>
        <family val="2"/>
      </rPr>
      <t xml:space="preserve">leach,TIME2 </t>
    </r>
    <r>
      <rPr>
        <sz val="10"/>
        <rFont val="Verdana"/>
        <family val="2"/>
      </rPr>
      <t>and Q*</t>
    </r>
    <r>
      <rPr>
        <vertAlign val="subscript"/>
        <sz val="10"/>
        <rFont val="Verdana"/>
        <family val="2"/>
      </rPr>
      <t>leach,TIME3</t>
    </r>
    <r>
      <rPr>
        <sz val="10"/>
        <rFont val="Verdana"/>
        <family val="2"/>
      </rPr>
      <t>.</t>
    </r>
  </si>
  <si>
    <t>Application + subsequent leaching from treated wood (ESD p.92)</t>
  </si>
  <si>
    <t>Application</t>
  </si>
  <si>
    <t>Leaching from treated wood</t>
  </si>
  <si>
    <t>1. Daily emissions due to leaching were added</t>
  </si>
  <si>
    <t>2. Concentrations in local soil and in local soil pore water were added, considering removal processes in the soil.</t>
  </si>
  <si>
    <t>2. To consider the removal processes (in water), provide also the first order rate constant for removal from water (k).</t>
  </si>
  <si>
    <r>
      <t>3. To consider the removal processes (in soil), provide also the first order rate constant for removal from soil (k) and the soil-water partitioning coefficient (K</t>
    </r>
    <r>
      <rPr>
        <vertAlign val="subscript"/>
        <sz val="10"/>
        <rFont val="Verdana"/>
        <family val="2"/>
      </rPr>
      <t>soil-water</t>
    </r>
    <r>
      <rPr>
        <sz val="10"/>
        <rFont val="Verdana"/>
        <family val="2"/>
      </rPr>
      <t>).</t>
    </r>
  </si>
  <si>
    <t>2. To consider the removal processes (in soil), provide also the first order rate constant for removal from soil (k) and the soil-water partitioning coefficient (Ksoil-water).</t>
  </si>
  <si>
    <r>
      <rPr>
        <b/>
        <sz val="10"/>
        <rFont val="Verdana"/>
        <family val="2"/>
      </rPr>
      <t>Clocal</t>
    </r>
    <r>
      <rPr>
        <b/>
        <vertAlign val="subscript"/>
        <sz val="10"/>
        <rFont val="Verdana"/>
        <family val="2"/>
      </rPr>
      <t>pore,TIME1</t>
    </r>
    <r>
      <rPr>
        <b/>
        <sz val="10"/>
        <rFont val="Verdana"/>
        <family val="2"/>
      </rPr>
      <t xml:space="preserve"> =</t>
    </r>
    <r>
      <rPr>
        <sz val="10"/>
        <rFont val="Verdana"/>
        <family val="2"/>
      </rPr>
      <t xml:space="preserve"> Clocal</t>
    </r>
    <r>
      <rPr>
        <vertAlign val="subscript"/>
        <sz val="10"/>
        <rFont val="Verdana"/>
        <family val="2"/>
      </rPr>
      <t>soil,TIME1</t>
    </r>
    <r>
      <rPr>
        <sz val="10"/>
        <rFont val="Verdana"/>
        <family val="2"/>
      </rPr>
      <t xml:space="preserve"> * RHO</t>
    </r>
    <r>
      <rPr>
        <vertAlign val="subscript"/>
        <sz val="10"/>
        <rFont val="Verdana"/>
        <family val="2"/>
      </rPr>
      <t xml:space="preserve">soil </t>
    </r>
    <r>
      <rPr>
        <sz val="10"/>
        <rFont val="Verdana"/>
        <family val="2"/>
      </rPr>
      <t>/(K</t>
    </r>
    <r>
      <rPr>
        <vertAlign val="subscript"/>
        <sz val="10"/>
        <rFont val="Verdana"/>
        <family val="2"/>
      </rPr>
      <t>soil-water</t>
    </r>
    <r>
      <rPr>
        <sz val="10"/>
        <rFont val="Verdana"/>
        <family val="2"/>
      </rPr>
      <t xml:space="preserve"> * 1000)</t>
    </r>
  </si>
  <si>
    <r>
      <rPr>
        <b/>
        <sz val="10"/>
        <rFont val="Verdana"/>
        <family val="2"/>
      </rPr>
      <t>Clocal</t>
    </r>
    <r>
      <rPr>
        <b/>
        <vertAlign val="subscript"/>
        <sz val="10"/>
        <rFont val="Verdana"/>
        <family val="2"/>
      </rPr>
      <t>pore,TIME2</t>
    </r>
    <r>
      <rPr>
        <b/>
        <sz val="10"/>
        <rFont val="Verdana"/>
        <family val="2"/>
      </rPr>
      <t xml:space="preserve"> =</t>
    </r>
    <r>
      <rPr>
        <sz val="10"/>
        <rFont val="Verdana"/>
        <family val="2"/>
      </rPr>
      <t xml:space="preserve"> Clocal</t>
    </r>
    <r>
      <rPr>
        <vertAlign val="subscript"/>
        <sz val="10"/>
        <rFont val="Verdana"/>
        <family val="2"/>
      </rPr>
      <t>soil,TIME2</t>
    </r>
    <r>
      <rPr>
        <sz val="10"/>
        <rFont val="Verdana"/>
        <family val="2"/>
      </rPr>
      <t>* RHO</t>
    </r>
    <r>
      <rPr>
        <vertAlign val="subscript"/>
        <sz val="10"/>
        <rFont val="Verdana"/>
        <family val="2"/>
      </rPr>
      <t>soil</t>
    </r>
    <r>
      <rPr>
        <sz val="10"/>
        <rFont val="Verdana"/>
        <family val="2"/>
      </rPr>
      <t xml:space="preserve"> /(K</t>
    </r>
    <r>
      <rPr>
        <vertAlign val="subscript"/>
        <sz val="10"/>
        <rFont val="Verdana"/>
        <family val="2"/>
      </rPr>
      <t>soil-water</t>
    </r>
    <r>
      <rPr>
        <sz val="10"/>
        <rFont val="Verdana"/>
        <family val="2"/>
      </rPr>
      <t xml:space="preserve"> * 1000)</t>
    </r>
  </si>
  <si>
    <r>
      <rPr>
        <b/>
        <sz val="10"/>
        <rFont val="Verdana"/>
        <family val="2"/>
      </rPr>
      <t>Clocal</t>
    </r>
    <r>
      <rPr>
        <b/>
        <vertAlign val="subscript"/>
        <sz val="10"/>
        <rFont val="Verdana"/>
        <family val="2"/>
      </rPr>
      <t>pore,TIME3</t>
    </r>
    <r>
      <rPr>
        <b/>
        <sz val="10"/>
        <rFont val="Verdana"/>
        <family val="2"/>
      </rPr>
      <t xml:space="preserve"> =</t>
    </r>
    <r>
      <rPr>
        <sz val="10"/>
        <rFont val="Verdana"/>
        <family val="2"/>
      </rPr>
      <t xml:space="preserve"> Clocal</t>
    </r>
    <r>
      <rPr>
        <vertAlign val="subscript"/>
        <sz val="10"/>
        <rFont val="Verdana"/>
        <family val="2"/>
      </rPr>
      <t>soil,TIME3</t>
    </r>
    <r>
      <rPr>
        <sz val="10"/>
        <rFont val="Verdana"/>
        <family val="2"/>
      </rPr>
      <t xml:space="preserve"> * RHO</t>
    </r>
    <r>
      <rPr>
        <vertAlign val="subscript"/>
        <sz val="10"/>
        <rFont val="Verdana"/>
        <family val="2"/>
      </rPr>
      <t>soil</t>
    </r>
    <r>
      <rPr>
        <sz val="10"/>
        <rFont val="Verdana"/>
        <family val="2"/>
      </rPr>
      <t xml:space="preserve"> /(K</t>
    </r>
    <r>
      <rPr>
        <vertAlign val="subscript"/>
        <sz val="10"/>
        <rFont val="Verdana"/>
        <family val="2"/>
      </rPr>
      <t>soil-water</t>
    </r>
    <r>
      <rPr>
        <sz val="10"/>
        <rFont val="Verdana"/>
        <family val="2"/>
      </rPr>
      <t xml:space="preserve"> * 1000)</t>
    </r>
  </si>
  <si>
    <r>
      <rPr>
        <b/>
        <sz val="10"/>
        <rFont val="Verdana"/>
        <family val="2"/>
      </rPr>
      <t>Clocal</t>
    </r>
    <r>
      <rPr>
        <b/>
        <vertAlign val="subscript"/>
        <sz val="10"/>
        <rFont val="Verdana"/>
        <family val="2"/>
      </rPr>
      <t>pore,TIME1</t>
    </r>
    <r>
      <rPr>
        <b/>
        <sz val="10"/>
        <rFont val="Verdana"/>
        <family val="2"/>
      </rPr>
      <t xml:space="preserve"> =</t>
    </r>
    <r>
      <rPr>
        <sz val="10"/>
        <rFont val="Verdana"/>
        <family val="2"/>
      </rPr>
      <t xml:space="preserve"> Clocal</t>
    </r>
    <r>
      <rPr>
        <vertAlign val="subscript"/>
        <sz val="10"/>
        <rFont val="Verdana"/>
        <family val="2"/>
      </rPr>
      <t>soil,TIME1</t>
    </r>
    <r>
      <rPr>
        <sz val="10"/>
        <rFont val="Verdana"/>
        <family val="2"/>
      </rPr>
      <t xml:space="preserve"> * RHO</t>
    </r>
    <r>
      <rPr>
        <vertAlign val="subscript"/>
        <sz val="10"/>
        <rFont val="Verdana"/>
        <family val="2"/>
      </rPr>
      <t>soil</t>
    </r>
    <r>
      <rPr>
        <sz val="10"/>
        <rFont val="Verdana"/>
        <family val="2"/>
      </rPr>
      <t xml:space="preserve"> /(K</t>
    </r>
    <r>
      <rPr>
        <vertAlign val="subscript"/>
        <sz val="10"/>
        <rFont val="Verdana"/>
        <family val="2"/>
      </rPr>
      <t>soil-water</t>
    </r>
    <r>
      <rPr>
        <sz val="10"/>
        <rFont val="Verdana"/>
        <family val="2"/>
      </rPr>
      <t xml:space="preserve"> * 1000)</t>
    </r>
  </si>
  <si>
    <r>
      <t>Total concentration in local soil at the end of the day of application due to spray drift</t>
    </r>
    <r>
      <rPr>
        <sz val="10"/>
        <color theme="1"/>
        <rFont val="Verdana"/>
        <family val="2"/>
      </rPr>
      <t xml:space="preserve"> - tier 2</t>
    </r>
  </si>
  <si>
    <t>1. Correction of formulas for Clocalwater,leach,TIME1-3, Clocalwater,TIME1-3, and Clocaldiss,TIME1-3.</t>
  </si>
  <si>
    <t>2. Units for Kpsusp aligned with EUSES and Vol IV part B+C (i.e. change from m3/kg to l/kg and consequent adjustment of the formulas for Clocaldiss,TIME1-3).</t>
  </si>
  <si>
    <t>1. Removed calculation of time weighted dissolved concentration in local water.</t>
  </si>
  <si>
    <t>1. Removed calculation of time weighted concentrations in soil and water, calculated using Eqs 3.7 and 3.8 (from ESD PT 8).</t>
  </si>
  <si>
    <t>1. Removed calculation of time weighted concentrations in soil, calculated using Eqs 3.7 and 3.8 (from ESD PT 8).</t>
  </si>
  <si>
    <t>2. Correction of equations to calculate concentration in soil pore water.</t>
  </si>
  <si>
    <t xml:space="preserve">Changes in PT 8 Automated spraying, A) Emission scenario for automated spraying - product application
</t>
  </si>
  <si>
    <t>Changes in PT 8 Automated spraying, PT 8 Dipping/ immersion processes and PT 8 Vacuum pressure and double vacuum</t>
  </si>
  <si>
    <t xml:space="preserve">Changes in PT 8 Treatd wood in service UC3, D) Bridge over pond scenario including removal processes
</t>
  </si>
  <si>
    <t>Changes in PT 8 Treated wood in service UC3 and PT 8 Treated wood in service UC4a</t>
  </si>
  <si>
    <t>Changes in PT 8 Treated wood in service UC4b</t>
  </si>
  <si>
    <t>Changes in PT 8 Injection and PT 8 Wrapping</t>
  </si>
  <si>
    <t>Changes in PT 8 In situ spraying</t>
  </si>
</sst>
</file>

<file path=xl/styles.xml><?xml version="1.0" encoding="utf-8"?>
<styleSheet xmlns="http://schemas.openxmlformats.org/spreadsheetml/2006/main" xmlns:mc="http://schemas.openxmlformats.org/markup-compatibility/2006" xmlns:x14ac="http://schemas.microsoft.com/office/spreadsheetml/2009/9/ac" mc:Ignorable="x14ac">
  <fonts count="67" x14ac:knownFonts="1">
    <font>
      <sz val="10"/>
      <color theme="1"/>
      <name val="Verdana"/>
      <family val="2"/>
    </font>
    <font>
      <sz val="10"/>
      <color rgb="FF3F3F76"/>
      <name val="Verdana"/>
      <family val="2"/>
    </font>
    <font>
      <b/>
      <sz val="10"/>
      <color rgb="FF3F3F3F"/>
      <name val="Verdana"/>
      <family val="2"/>
    </font>
    <font>
      <b/>
      <sz val="10"/>
      <color theme="0"/>
      <name val="Verdana"/>
      <family val="2"/>
    </font>
    <font>
      <b/>
      <sz val="10"/>
      <color theme="1"/>
      <name val="Verdana"/>
      <family val="2"/>
    </font>
    <font>
      <sz val="12"/>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i/>
      <vertAlign val="superscript"/>
      <sz val="10"/>
      <color rgb="FF0070C0"/>
      <name val="Verdana"/>
      <family val="2"/>
    </font>
    <font>
      <sz val="10"/>
      <name val="Arial"/>
      <family val="2"/>
    </font>
    <font>
      <sz val="10"/>
      <name val="Arial"/>
      <family val="2"/>
    </font>
    <font>
      <b/>
      <sz val="10"/>
      <color rgb="FFFA7D00"/>
      <name val="Verdana"/>
      <family val="2"/>
    </font>
    <font>
      <i/>
      <sz val="10"/>
      <name val="Verdana"/>
      <family val="2"/>
    </font>
    <font>
      <b/>
      <sz val="10"/>
      <color rgb="FF00B050"/>
      <name val="Verdana"/>
      <family val="2"/>
    </font>
    <font>
      <vertAlign val="superscript"/>
      <sz val="10"/>
      <name val="Verdana"/>
      <family val="2"/>
    </font>
    <font>
      <b/>
      <sz val="11"/>
      <color theme="3"/>
      <name val="Verdana"/>
      <family val="2"/>
    </font>
    <font>
      <b/>
      <i/>
      <sz val="10"/>
      <name val="Verdana"/>
      <family val="2"/>
    </font>
    <font>
      <sz val="10"/>
      <color theme="0"/>
      <name val="Verdana"/>
      <family val="2"/>
    </font>
    <font>
      <sz val="12"/>
      <color theme="0"/>
      <name val="Verdana"/>
      <family val="2"/>
    </font>
    <font>
      <vertAlign val="subscript"/>
      <sz val="10"/>
      <name val="Verdana"/>
      <family val="2"/>
    </font>
    <font>
      <sz val="10"/>
      <color rgb="FF0070C0"/>
      <name val="Verdana"/>
      <family val="2"/>
    </font>
    <font>
      <b/>
      <sz val="14"/>
      <color theme="1"/>
      <name val="Verdana"/>
      <family val="2"/>
    </font>
    <font>
      <b/>
      <sz val="10"/>
      <color rgb="FFFF0000"/>
      <name val="Verdana"/>
      <family val="2"/>
    </font>
    <font>
      <b/>
      <sz val="10"/>
      <color rgb="FFEFB011"/>
      <name val="Verdana"/>
      <family val="2"/>
    </font>
    <font>
      <b/>
      <sz val="10"/>
      <name val="Verdana"/>
      <family val="2"/>
    </font>
    <font>
      <b/>
      <sz val="16"/>
      <color theme="3"/>
      <name val="Verdana"/>
      <family val="2"/>
    </font>
    <font>
      <sz val="11"/>
      <color theme="1"/>
      <name val="Verdana"/>
      <family val="2"/>
    </font>
    <font>
      <sz val="11"/>
      <color rgb="FFFF0000"/>
      <name val="Verdana"/>
      <family val="2"/>
    </font>
    <font>
      <sz val="11"/>
      <name val="Verdana"/>
      <family val="2"/>
    </font>
    <font>
      <b/>
      <sz val="11"/>
      <color theme="1"/>
      <name val="Verdana"/>
      <family val="2"/>
    </font>
    <font>
      <sz val="11"/>
      <name val="Arial"/>
      <family val="2"/>
    </font>
    <font>
      <b/>
      <sz val="14"/>
      <color theme="0"/>
      <name val="Verdana"/>
      <family val="2"/>
    </font>
    <font>
      <u/>
      <sz val="12"/>
      <color theme="10"/>
      <name val="Verdana"/>
      <family val="2"/>
    </font>
    <font>
      <b/>
      <sz val="11"/>
      <color rgb="FFFF0000"/>
      <name val="Verdana"/>
      <family val="2"/>
    </font>
    <font>
      <b/>
      <sz val="12"/>
      <color theme="3"/>
      <name val="Verdana"/>
      <family val="2"/>
    </font>
    <font>
      <b/>
      <sz val="11"/>
      <name val="Verdana"/>
      <family val="2"/>
    </font>
    <font>
      <b/>
      <vertAlign val="subscript"/>
      <sz val="10"/>
      <name val="Verdana"/>
      <family val="2"/>
    </font>
    <font>
      <sz val="10"/>
      <color rgb="FFFF0000"/>
      <name val="Verdana"/>
      <family val="2"/>
    </font>
    <font>
      <b/>
      <sz val="11"/>
      <color rgb="FF00B050"/>
      <name val="Verdana"/>
      <family val="2"/>
    </font>
    <font>
      <i/>
      <sz val="11"/>
      <color rgb="FF0070C0"/>
      <name val="Verdana"/>
      <family val="2"/>
    </font>
    <font>
      <b/>
      <i/>
      <sz val="10"/>
      <color rgb="FF00B050"/>
      <name val="Verdana"/>
      <family val="2"/>
    </font>
    <font>
      <sz val="10"/>
      <color rgb="FFFA7D00"/>
      <name val="Verdana"/>
      <family val="2"/>
    </font>
    <font>
      <sz val="12"/>
      <color theme="3"/>
      <name val="Verdana"/>
      <family val="2"/>
    </font>
    <font>
      <b/>
      <vertAlign val="superscript"/>
      <sz val="10"/>
      <color theme="1"/>
      <name val="Verdana"/>
      <family val="2"/>
    </font>
    <font>
      <sz val="12"/>
      <color theme="4" tint="-0.249977111117893"/>
      <name val="Verdana"/>
      <family val="2"/>
    </font>
    <font>
      <b/>
      <sz val="10"/>
      <color rgb="FF002060"/>
      <name val="Verdana"/>
      <family val="2"/>
    </font>
    <font>
      <b/>
      <i/>
      <sz val="10"/>
      <color rgb="FF002060"/>
      <name val="Verdana"/>
      <family val="2"/>
    </font>
    <font>
      <sz val="10"/>
      <color rgb="FF00B050"/>
      <name val="Verdana"/>
      <family val="2"/>
    </font>
    <font>
      <u/>
      <sz val="10"/>
      <name val="Verdana"/>
      <family val="2"/>
    </font>
    <font>
      <b/>
      <i/>
      <sz val="12"/>
      <color theme="3"/>
      <name val="Verdana"/>
      <family val="2"/>
    </font>
    <font>
      <vertAlign val="superscript"/>
      <sz val="8"/>
      <name val="Verdana"/>
      <family val="2"/>
    </font>
    <font>
      <sz val="10"/>
      <color theme="1"/>
      <name val="Verdana"/>
      <family val="2"/>
    </font>
    <font>
      <strike/>
      <sz val="10"/>
      <color rgb="FFFF0000"/>
      <name val="Verdana"/>
      <family val="2"/>
    </font>
    <font>
      <sz val="10"/>
      <color theme="3" tint="0.79998168889431442"/>
      <name val="Verdana"/>
      <family val="2"/>
    </font>
    <font>
      <u/>
      <sz val="11"/>
      <color theme="1"/>
      <name val="Verdana"/>
      <family val="2"/>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
      <patternFill patternType="solid">
        <fgColor theme="0" tint="-0.14999847407452621"/>
        <bgColor indexed="64"/>
      </patternFill>
    </fill>
    <fill>
      <patternFill patternType="solid">
        <fgColor rgb="FFD89E0E"/>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double">
        <color rgb="FFFF8001"/>
      </bottom>
      <diagonal/>
    </border>
  </borders>
  <cellStyleXfs count="25">
    <xf numFmtId="0" fontId="0" fillId="0" borderId="0"/>
    <xf numFmtId="0" fontId="1" fillId="2" borderId="1" applyNumberFormat="0" applyAlignment="0" applyProtection="0"/>
    <xf numFmtId="0" fontId="2" fillId="3" borderId="2" applyNumberFormat="0" applyAlignment="0" applyProtection="0"/>
    <xf numFmtId="0" fontId="11" fillId="5"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5" applyNumberFormat="0" applyFill="0" applyAlignment="0" applyProtection="0"/>
    <xf numFmtId="0" fontId="21" fillId="0" borderId="0"/>
    <xf numFmtId="0" fontId="23" fillId="3" borderId="1" applyNumberFormat="0" applyAlignment="0" applyProtection="0"/>
    <xf numFmtId="0" fontId="22" fillId="0" borderId="0"/>
    <xf numFmtId="0" fontId="27" fillId="0" borderId="0" applyNumberFormat="0" applyFill="0" applyBorder="0" applyAlignment="0" applyProtection="0"/>
    <xf numFmtId="0" fontId="12" fillId="0" borderId="0" applyNumberFormat="0" applyFill="0" applyBorder="0" applyAlignment="0" applyProtection="0"/>
    <xf numFmtId="0" fontId="53" fillId="0" borderId="17" applyNumberFormat="0" applyFill="0" applyAlignment="0" applyProtection="0"/>
  </cellStyleXfs>
  <cellXfs count="392">
    <xf numFmtId="0" fontId="0" fillId="0" borderId="0" xfId="0"/>
    <xf numFmtId="0" fontId="0" fillId="4" borderId="0" xfId="0" applyFill="1"/>
    <xf numFmtId="0" fontId="0" fillId="4" borderId="0" xfId="0" applyFill="1" applyBorder="1"/>
    <xf numFmtId="0" fontId="0" fillId="4" borderId="0" xfId="0" applyFill="1" applyBorder="1" applyAlignment="1">
      <alignment horizontal="left"/>
    </xf>
    <xf numFmtId="0" fontId="14" fillId="6" borderId="0" xfId="0" applyFont="1" applyFill="1" applyBorder="1" applyAlignment="1">
      <alignment vertical="center"/>
    </xf>
    <xf numFmtId="0" fontId="19" fillId="8" borderId="0" xfId="19" applyFont="1"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center" vertical="center"/>
    </xf>
    <xf numFmtId="0" fontId="0" fillId="4" borderId="0" xfId="0" applyFill="1" applyAlignment="1">
      <alignment vertical="center"/>
    </xf>
    <xf numFmtId="0" fontId="9" fillId="7" borderId="0" xfId="0" applyFont="1" applyFill="1" applyBorder="1" applyAlignment="1">
      <alignment vertical="center"/>
    </xf>
    <xf numFmtId="0" fontId="0" fillId="4" borderId="0" xfId="0" applyFill="1" applyBorder="1" applyAlignment="1">
      <alignment vertical="center"/>
    </xf>
    <xf numFmtId="0" fontId="0" fillId="0" borderId="0" xfId="0" applyAlignment="1">
      <alignment vertical="center"/>
    </xf>
    <xf numFmtId="0" fontId="3" fillId="6" borderId="0" xfId="0" applyFont="1" applyFill="1" applyBorder="1" applyAlignment="1">
      <alignment vertical="center"/>
    </xf>
    <xf numFmtId="0" fontId="3" fillId="6" borderId="0" xfId="0" applyFont="1" applyFill="1" applyBorder="1" applyAlignment="1">
      <alignment horizontal="left" vertical="center"/>
    </xf>
    <xf numFmtId="0" fontId="8" fillId="7" borderId="0" xfId="0" applyFont="1" applyFill="1" applyBorder="1" applyAlignment="1">
      <alignment vertical="center"/>
    </xf>
    <xf numFmtId="0" fontId="8" fillId="7" borderId="0" xfId="0" applyFont="1" applyFill="1" applyBorder="1" applyAlignment="1">
      <alignment horizontal="left" vertical="center"/>
    </xf>
    <xf numFmtId="0" fontId="8" fillId="7" borderId="0" xfId="0" applyFont="1" applyFill="1" applyBorder="1" applyAlignment="1">
      <alignment horizontal="center" vertical="center"/>
    </xf>
    <xf numFmtId="0" fontId="10" fillId="7" borderId="0" xfId="0" applyFont="1" applyFill="1" applyBorder="1" applyAlignment="1">
      <alignment vertical="center"/>
    </xf>
    <xf numFmtId="0" fontId="0" fillId="4" borderId="0" xfId="0" applyFill="1" applyBorder="1" applyAlignment="1">
      <alignment vertical="center" wrapText="1"/>
    </xf>
    <xf numFmtId="0" fontId="6" fillId="7" borderId="0" xfId="0" applyFont="1" applyFill="1" applyBorder="1" applyAlignment="1">
      <alignment horizontal="center" vertical="center"/>
    </xf>
    <xf numFmtId="0" fontId="0" fillId="7" borderId="0" xfId="0" applyFont="1" applyFill="1" applyBorder="1" applyAlignment="1">
      <alignment horizontal="left" vertical="center"/>
    </xf>
    <xf numFmtId="0" fontId="19" fillId="8" borderId="0" xfId="19" applyFont="1" applyFill="1" applyBorder="1" applyAlignment="1">
      <alignment horizontal="left" vertical="center"/>
    </xf>
    <xf numFmtId="0" fontId="0" fillId="7" borderId="0" xfId="0" applyFill="1" applyBorder="1" applyAlignment="1">
      <alignment horizontal="left" vertical="center"/>
    </xf>
    <xf numFmtId="0" fontId="23" fillId="3" borderId="1" xfId="20" applyAlignment="1">
      <alignment horizontal="center" vertical="center"/>
    </xf>
    <xf numFmtId="0" fontId="2" fillId="3" borderId="2" xfId="2" applyAlignment="1">
      <alignment horizontal="center" vertical="center"/>
    </xf>
    <xf numFmtId="0" fontId="19" fillId="8" borderId="0" xfId="21" applyFont="1" applyFill="1" applyBorder="1" applyAlignment="1">
      <alignment vertical="center"/>
    </xf>
    <xf numFmtId="14" fontId="0" fillId="4" borderId="0" xfId="0" applyNumberFormat="1" applyFill="1"/>
    <xf numFmtId="0" fontId="0" fillId="4" borderId="0" xfId="0" applyFill="1" applyAlignment="1">
      <alignment wrapText="1"/>
    </xf>
    <xf numFmtId="0" fontId="19" fillId="4" borderId="0" xfId="21" applyFont="1" applyFill="1" applyBorder="1" applyAlignment="1">
      <alignment vertical="center"/>
    </xf>
    <xf numFmtId="0" fontId="6" fillId="7" borderId="0" xfId="0" applyFont="1" applyFill="1" applyBorder="1" applyAlignment="1">
      <alignment vertical="center"/>
    </xf>
    <xf numFmtId="0" fontId="0" fillId="7" borderId="0" xfId="0" applyFill="1" applyBorder="1" applyAlignment="1">
      <alignment vertical="center" wrapText="1"/>
    </xf>
    <xf numFmtId="0" fontId="19" fillId="4" borderId="0" xfId="19" applyFont="1" applyFill="1" applyBorder="1" applyAlignment="1">
      <alignment vertical="center"/>
    </xf>
    <xf numFmtId="0" fontId="19" fillId="4" borderId="0" xfId="19" applyFont="1" applyFill="1" applyBorder="1" applyAlignment="1">
      <alignment horizontal="left" vertical="center"/>
    </xf>
    <xf numFmtId="0" fontId="6" fillId="4" borderId="0" xfId="19" applyFont="1" applyFill="1" applyBorder="1" applyAlignment="1">
      <alignment vertical="center"/>
    </xf>
    <xf numFmtId="0" fontId="0" fillId="7" borderId="0" xfId="0" applyFill="1" applyAlignment="1">
      <alignment vertical="center"/>
    </xf>
    <xf numFmtId="0" fontId="0" fillId="4" borderId="0" xfId="0" applyFont="1" applyFill="1"/>
    <xf numFmtId="0" fontId="0" fillId="4" borderId="0" xfId="0" applyFont="1" applyFill="1" applyBorder="1"/>
    <xf numFmtId="0" fontId="30" fillId="4" borderId="0" xfId="19" applyFont="1" applyFill="1" applyBorder="1" applyAlignment="1">
      <alignment vertical="center"/>
    </xf>
    <xf numFmtId="0" fontId="30" fillId="4" borderId="0" xfId="19" applyFont="1" applyFill="1" applyBorder="1" applyAlignment="1">
      <alignment horizontal="left" vertical="center"/>
    </xf>
    <xf numFmtId="0" fontId="0" fillId="7" borderId="0" xfId="0" applyFill="1" applyBorder="1" applyAlignment="1">
      <alignment horizontal="center" vertical="center" wrapText="1"/>
    </xf>
    <xf numFmtId="0" fontId="6" fillId="4" borderId="0" xfId="19" applyFont="1" applyFill="1" applyBorder="1" applyAlignment="1">
      <alignment horizontal="left" vertical="center"/>
    </xf>
    <xf numFmtId="0" fontId="6" fillId="7" borderId="0" xfId="0" applyFont="1" applyFill="1" applyBorder="1" applyAlignment="1">
      <alignment horizontal="left" vertical="center"/>
    </xf>
    <xf numFmtId="0" fontId="34" fillId="4" borderId="0" xfId="0" applyFont="1" applyFill="1" applyBorder="1" applyAlignment="1">
      <alignment vertical="center" wrapText="1"/>
    </xf>
    <xf numFmtId="0" fontId="0" fillId="4" borderId="0" xfId="0" applyFont="1" applyFill="1" applyBorder="1" applyAlignment="1">
      <alignment horizontal="left"/>
    </xf>
    <xf numFmtId="0" fontId="0" fillId="7" borderId="0" xfId="0" applyFill="1" applyBorder="1" applyAlignment="1">
      <alignment horizontal="left" vertical="center" wrapText="1"/>
    </xf>
    <xf numFmtId="0" fontId="0" fillId="7" borderId="0" xfId="0" applyFill="1" applyBorder="1" applyAlignment="1">
      <alignment horizontal="left" vertical="center" wrapText="1"/>
    </xf>
    <xf numFmtId="0" fontId="0" fillId="4" borderId="0" xfId="0" applyFill="1" applyAlignment="1">
      <alignment horizontal="center"/>
    </xf>
    <xf numFmtId="0" fontId="0" fillId="4" borderId="0" xfId="0" applyFill="1" applyBorder="1" applyAlignment="1">
      <alignment horizontal="center"/>
    </xf>
    <xf numFmtId="0" fontId="38" fillId="4" borderId="0" xfId="0" applyFont="1" applyFill="1"/>
    <xf numFmtId="0" fontId="38" fillId="4" borderId="0" xfId="0" applyFont="1" applyFill="1" applyBorder="1" applyAlignment="1"/>
    <xf numFmtId="0" fontId="38" fillId="4" borderId="0" xfId="0" applyFont="1" applyFill="1" applyAlignment="1"/>
    <xf numFmtId="0" fontId="42" fillId="4" borderId="0" xfId="19" applyFont="1" applyFill="1" applyBorder="1" applyAlignment="1"/>
    <xf numFmtId="0" fontId="41" fillId="4" borderId="0" xfId="0" applyFont="1" applyFill="1" applyAlignment="1"/>
    <xf numFmtId="0" fontId="40" fillId="4" borderId="0" xfId="19" applyFont="1" applyFill="1" applyBorder="1"/>
    <xf numFmtId="0" fontId="43" fillId="8" borderId="0" xfId="21" applyFont="1" applyFill="1" applyBorder="1" applyAlignment="1">
      <alignment vertical="center"/>
    </xf>
    <xf numFmtId="0" fontId="43" fillId="8" borderId="0" xfId="19" applyFont="1" applyFill="1" applyBorder="1" applyAlignment="1">
      <alignment vertical="center"/>
    </xf>
    <xf numFmtId="0" fontId="45" fillId="4" borderId="0" xfId="19" applyFont="1" applyFill="1" applyBorder="1" applyAlignment="1">
      <alignment vertical="center"/>
    </xf>
    <xf numFmtId="0" fontId="40" fillId="4" borderId="0" xfId="19" applyFont="1" applyFill="1" applyBorder="1" applyAlignment="1">
      <alignment vertical="center"/>
    </xf>
    <xf numFmtId="0" fontId="40" fillId="4" borderId="0" xfId="19" applyFont="1" applyFill="1" applyBorder="1" applyAlignment="1">
      <alignment horizontal="left" vertical="center"/>
    </xf>
    <xf numFmtId="0" fontId="46" fillId="4" borderId="0" xfId="22" applyFont="1" applyFill="1" applyBorder="1" applyAlignment="1">
      <alignment vertical="center"/>
    </xf>
    <xf numFmtId="0" fontId="4" fillId="4" borderId="0" xfId="0" applyFont="1" applyFill="1" applyBorder="1" applyAlignment="1">
      <alignment horizontal="center" vertical="center" wrapText="1"/>
    </xf>
    <xf numFmtId="0" fontId="0" fillId="4" borderId="0" xfId="0" applyFill="1" applyBorder="1" applyAlignment="1">
      <alignment horizontal="left" vertical="center"/>
    </xf>
    <xf numFmtId="0" fontId="33" fillId="8" borderId="0" xfId="0" applyFont="1" applyFill="1" applyAlignment="1">
      <alignment vertical="center"/>
    </xf>
    <xf numFmtId="0" fontId="0" fillId="8" borderId="0" xfId="0" applyFill="1" applyAlignment="1">
      <alignment vertical="center"/>
    </xf>
    <xf numFmtId="0" fontId="37" fillId="4" borderId="0" xfId="18" applyFont="1" applyFill="1" applyBorder="1" applyAlignment="1">
      <alignment vertical="center"/>
    </xf>
    <xf numFmtId="0" fontId="15" fillId="4" borderId="0" xfId="18" applyFill="1" applyBorder="1" applyAlignment="1">
      <alignment vertical="center"/>
    </xf>
    <xf numFmtId="0" fontId="15" fillId="4" borderId="0" xfId="18" applyFill="1" applyBorder="1" applyAlignment="1">
      <alignment horizontal="left" vertical="center"/>
    </xf>
    <xf numFmtId="0" fontId="21" fillId="4" borderId="0" xfId="19" applyFill="1" applyAlignment="1">
      <alignment vertical="center"/>
    </xf>
    <xf numFmtId="0" fontId="21" fillId="4" borderId="0" xfId="19" applyFill="1" applyAlignment="1">
      <alignment horizontal="left" vertical="center"/>
    </xf>
    <xf numFmtId="0" fontId="5" fillId="4" borderId="0" xfId="19" applyFont="1" applyFill="1" applyBorder="1" applyAlignment="1">
      <alignment vertical="center"/>
    </xf>
    <xf numFmtId="0" fontId="5" fillId="4" borderId="0" xfId="19" applyFont="1" applyFill="1" applyBorder="1" applyAlignment="1">
      <alignment horizontal="left" vertical="center"/>
    </xf>
    <xf numFmtId="0" fontId="3" fillId="8" borderId="0" xfId="0" applyFont="1" applyFill="1" applyBorder="1" applyAlignment="1">
      <alignment vertical="center"/>
    </xf>
    <xf numFmtId="0" fontId="0" fillId="8" borderId="0" xfId="0" applyFill="1" applyBorder="1" applyAlignment="1">
      <alignment vertical="center"/>
    </xf>
    <xf numFmtId="0" fontId="6" fillId="4" borderId="0" xfId="0" applyFont="1" applyFill="1" applyBorder="1" applyAlignment="1">
      <alignment vertical="center"/>
    </xf>
    <xf numFmtId="0" fontId="6" fillId="4" borderId="0" xfId="0" applyFont="1" applyFill="1" applyAlignment="1">
      <alignment vertical="center"/>
    </xf>
    <xf numFmtId="0" fontId="6" fillId="0" borderId="0" xfId="0" applyFont="1" applyAlignment="1">
      <alignment vertical="center"/>
    </xf>
    <xf numFmtId="0" fontId="40" fillId="4" borderId="0" xfId="0" applyFont="1" applyFill="1" applyBorder="1" applyAlignment="1">
      <alignment vertical="center"/>
    </xf>
    <xf numFmtId="0" fontId="0" fillId="4" borderId="0" xfId="0" applyFont="1" applyFill="1" applyBorder="1" applyAlignment="1">
      <alignment vertical="center"/>
    </xf>
    <xf numFmtId="0" fontId="29" fillId="4" borderId="0" xfId="0" applyFont="1" applyFill="1" applyBorder="1" applyAlignment="1">
      <alignment vertical="center"/>
    </xf>
    <xf numFmtId="0" fontId="0" fillId="4" borderId="0" xfId="0" applyFont="1" applyFill="1" applyAlignment="1">
      <alignment vertical="center"/>
    </xf>
    <xf numFmtId="0" fontId="5" fillId="4" borderId="0" xfId="19" applyFont="1" applyFill="1" applyAlignment="1">
      <alignment vertical="center" wrapText="1"/>
    </xf>
    <xf numFmtId="0" fontId="5" fillId="4" borderId="0" xfId="19" applyFont="1" applyFill="1" applyAlignment="1">
      <alignment horizontal="left" vertical="center"/>
    </xf>
    <xf numFmtId="0" fontId="35" fillId="4" borderId="0" xfId="0" applyFont="1" applyFill="1" applyBorder="1" applyAlignment="1">
      <alignment vertical="center"/>
    </xf>
    <xf numFmtId="0" fontId="0" fillId="4" borderId="0" xfId="0" applyFont="1" applyFill="1" applyBorder="1" applyAlignment="1">
      <alignment horizontal="left" vertical="center"/>
    </xf>
    <xf numFmtId="0" fontId="3" fillId="4" borderId="0" xfId="0" applyFont="1" applyFill="1" applyBorder="1" applyAlignment="1">
      <alignment vertical="center"/>
    </xf>
    <xf numFmtId="0" fontId="0" fillId="4" borderId="0" xfId="0" applyFill="1" applyAlignment="1">
      <alignment horizontal="left" vertical="center"/>
    </xf>
    <xf numFmtId="0" fontId="8" fillId="4" borderId="0" xfId="0" applyFont="1" applyFill="1" applyBorder="1" applyAlignment="1">
      <alignment vertical="center"/>
    </xf>
    <xf numFmtId="0" fontId="25" fillId="4" borderId="0" xfId="0" applyFont="1" applyFill="1" applyAlignment="1">
      <alignment vertical="center"/>
    </xf>
    <xf numFmtId="0" fontId="24" fillId="4" borderId="0" xfId="0" applyFont="1" applyFill="1" applyAlignment="1">
      <alignment horizontal="left" vertical="center"/>
    </xf>
    <xf numFmtId="0" fontId="6" fillId="4" borderId="0" xfId="0" applyFont="1" applyFill="1" applyAlignment="1">
      <alignment horizontal="left" vertical="center"/>
    </xf>
    <xf numFmtId="0" fontId="28" fillId="4" borderId="0" xfId="0" applyFont="1" applyFill="1" applyBorder="1" applyAlignment="1">
      <alignment vertical="center"/>
    </xf>
    <xf numFmtId="0" fontId="0" fillId="0" borderId="0" xfId="0" applyAlignment="1">
      <alignment horizontal="left" vertical="center"/>
    </xf>
    <xf numFmtId="0" fontId="6" fillId="7" borderId="0" xfId="0" applyFont="1" applyFill="1" applyAlignment="1">
      <alignment vertical="center"/>
    </xf>
    <xf numFmtId="0" fontId="32" fillId="4" borderId="0" xfId="0" applyFont="1" applyFill="1" applyBorder="1" applyAlignment="1">
      <alignment vertical="center"/>
    </xf>
    <xf numFmtId="0" fontId="6" fillId="4" borderId="0" xfId="0" applyFont="1" applyFill="1" applyBorder="1" applyAlignment="1">
      <alignment horizontal="left" vertical="center"/>
    </xf>
    <xf numFmtId="0" fontId="4" fillId="9" borderId="4" xfId="0" applyFont="1" applyFill="1" applyBorder="1"/>
    <xf numFmtId="0" fontId="4" fillId="9" borderId="4" xfId="0" applyFont="1" applyFill="1" applyBorder="1" applyAlignment="1">
      <alignment horizontal="center" vertical="center" wrapText="1"/>
    </xf>
    <xf numFmtId="0" fontId="7" fillId="9" borderId="0" xfId="0" applyFont="1" applyFill="1" applyBorder="1"/>
    <xf numFmtId="0" fontId="0" fillId="9" borderId="0" xfId="0" applyFill="1" applyAlignment="1">
      <alignment horizontal="center"/>
    </xf>
    <xf numFmtId="0" fontId="0" fillId="9" borderId="0" xfId="0" applyFill="1" applyBorder="1"/>
    <xf numFmtId="0" fontId="4" fillId="9" borderId="4" xfId="0" applyFont="1" applyFill="1" applyBorder="1" applyAlignment="1">
      <alignment vertical="center"/>
    </xf>
    <xf numFmtId="0" fontId="7" fillId="9" borderId="0" xfId="0" applyFont="1" applyFill="1" applyBorder="1" applyAlignment="1">
      <alignment vertical="center"/>
    </xf>
    <xf numFmtId="0" fontId="0" fillId="9" borderId="0" xfId="0" applyFill="1" applyAlignment="1">
      <alignment horizontal="center" vertical="center"/>
    </xf>
    <xf numFmtId="0" fontId="0" fillId="9" borderId="0" xfId="0" applyFill="1" applyBorder="1" applyAlignment="1">
      <alignment vertical="center"/>
    </xf>
    <xf numFmtId="0" fontId="0" fillId="7" borderId="0" xfId="0" applyFill="1" applyBorder="1" applyAlignment="1">
      <alignment horizontal="left" vertical="center" wrapText="1"/>
    </xf>
    <xf numFmtId="0" fontId="6" fillId="4" borderId="0" xfId="0" applyFont="1" applyFill="1" applyBorder="1" applyAlignment="1">
      <alignment horizontal="left" vertical="center" wrapText="1"/>
    </xf>
    <xf numFmtId="0" fontId="0" fillId="4" borderId="0" xfId="0" applyFill="1" applyAlignment="1">
      <alignment horizontal="center" vertical="center"/>
    </xf>
    <xf numFmtId="0" fontId="0" fillId="7" borderId="0" xfId="0" applyFill="1" applyAlignment="1">
      <alignment vertical="center" wrapText="1"/>
    </xf>
    <xf numFmtId="0" fontId="0" fillId="4" borderId="0" xfId="0" applyFont="1" applyFill="1" applyAlignment="1">
      <alignment horizontal="left" vertical="center"/>
    </xf>
    <xf numFmtId="0" fontId="0" fillId="4" borderId="0" xfId="19" applyFont="1" applyFill="1" applyAlignment="1">
      <alignment vertical="center" wrapText="1"/>
    </xf>
    <xf numFmtId="0" fontId="0" fillId="7" borderId="7" xfId="0" applyFill="1" applyBorder="1" applyAlignment="1">
      <alignment horizontal="left" vertical="center" wrapText="1"/>
    </xf>
    <xf numFmtId="0" fontId="0" fillId="7" borderId="7" xfId="0" applyFill="1" applyBorder="1" applyAlignment="1">
      <alignment vertical="center"/>
    </xf>
    <xf numFmtId="0" fontId="0" fillId="7" borderId="7" xfId="0" applyFill="1" applyBorder="1" applyAlignment="1">
      <alignment horizontal="right" vertical="center"/>
    </xf>
    <xf numFmtId="0" fontId="6" fillId="4" borderId="0" xfId="0" applyFont="1" applyFill="1" applyBorder="1" applyAlignment="1">
      <alignment horizontal="center" vertical="center"/>
    </xf>
    <xf numFmtId="0" fontId="6" fillId="4" borderId="0" xfId="1" applyFont="1" applyFill="1" applyBorder="1" applyAlignment="1">
      <alignment horizontal="center" vertical="center"/>
    </xf>
    <xf numFmtId="0" fontId="6" fillId="4" borderId="0" xfId="19" applyFont="1" applyFill="1" applyBorder="1" applyAlignment="1">
      <alignment vertical="center" wrapText="1"/>
    </xf>
    <xf numFmtId="0" fontId="6"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6" fillId="4" borderId="0" xfId="2" applyFont="1" applyFill="1" applyBorder="1" applyAlignment="1">
      <alignment horizontal="center" vertical="center"/>
    </xf>
    <xf numFmtId="0" fontId="0" fillId="7" borderId="7" xfId="0" applyFill="1" applyBorder="1" applyAlignment="1">
      <alignment horizontal="right" vertical="center" wrapText="1"/>
    </xf>
    <xf numFmtId="0" fontId="0" fillId="7" borderId="8" xfId="0" applyFill="1" applyBorder="1" applyAlignment="1">
      <alignment horizontal="right" vertical="center" wrapText="1"/>
    </xf>
    <xf numFmtId="0" fontId="36" fillId="7" borderId="0" xfId="0" applyFont="1" applyFill="1" applyBorder="1" applyAlignment="1">
      <alignment vertical="center"/>
    </xf>
    <xf numFmtId="0" fontId="36" fillId="7" borderId="4" xfId="0" applyFont="1" applyFill="1" applyBorder="1" applyAlignment="1">
      <alignment vertical="center"/>
    </xf>
    <xf numFmtId="0" fontId="10" fillId="7" borderId="4" xfId="0" applyFont="1" applyFill="1" applyBorder="1" applyAlignment="1">
      <alignment vertical="center"/>
    </xf>
    <xf numFmtId="0" fontId="0" fillId="7" borderId="4" xfId="0" applyFill="1" applyBorder="1" applyAlignment="1">
      <alignment horizontal="left" vertical="center"/>
    </xf>
    <xf numFmtId="0" fontId="0" fillId="7" borderId="0" xfId="0" applyFill="1" applyBorder="1" applyAlignment="1">
      <alignment horizontal="left" vertical="center" wrapText="1"/>
    </xf>
    <xf numFmtId="0" fontId="4" fillId="7" borderId="0" xfId="0" applyFont="1" applyFill="1" applyBorder="1" applyAlignment="1">
      <alignment horizontal="left" vertical="center"/>
    </xf>
    <xf numFmtId="0" fontId="0" fillId="7" borderId="0" xfId="0" applyNumberFormat="1" applyFill="1" applyBorder="1" applyAlignment="1">
      <alignment horizontal="center" vertical="center"/>
    </xf>
    <xf numFmtId="0" fontId="0" fillId="7" borderId="0" xfId="0" applyFill="1" applyBorder="1" applyAlignment="1">
      <alignment horizontal="left" vertical="center" wrapText="1"/>
    </xf>
    <xf numFmtId="0" fontId="6" fillId="4" borderId="0"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0" fillId="0" borderId="0" xfId="0" applyFont="1" applyAlignment="1">
      <alignment vertical="center"/>
    </xf>
    <xf numFmtId="0" fontId="6" fillId="4" borderId="0" xfId="19" applyFont="1" applyFill="1" applyAlignment="1">
      <alignment horizontal="left" vertical="center"/>
    </xf>
    <xf numFmtId="0" fontId="6" fillId="4" borderId="0" xfId="22" applyFont="1" applyFill="1" applyBorder="1" applyAlignment="1">
      <alignment vertical="center"/>
    </xf>
    <xf numFmtId="0" fontId="0" fillId="7" borderId="0" xfId="0" applyFill="1" applyBorder="1" applyAlignment="1">
      <alignment horizontal="left" vertical="center" wrapText="1"/>
    </xf>
    <xf numFmtId="0" fontId="0" fillId="7" borderId="0" xfId="0" applyFill="1" applyBorder="1" applyAlignment="1">
      <alignment horizontal="left" vertical="center" wrapText="1"/>
    </xf>
    <xf numFmtId="0" fontId="39" fillId="4" borderId="0" xfId="0" applyFont="1" applyFill="1" applyBorder="1" applyAlignment="1">
      <alignment horizontal="left" vertical="center" wrapText="1"/>
    </xf>
    <xf numFmtId="0" fontId="0" fillId="9" borderId="0" xfId="0" applyFont="1" applyFill="1" applyBorder="1"/>
    <xf numFmtId="0" fontId="3" fillId="4" borderId="0" xfId="19" applyFont="1" applyFill="1" applyBorder="1" applyAlignment="1">
      <alignment vertical="center"/>
    </xf>
    <xf numFmtId="0" fontId="23" fillId="3" borderId="1" xfId="20" applyAlignment="1">
      <alignment horizontal="center" vertical="center" wrapText="1"/>
    </xf>
    <xf numFmtId="0" fontId="0" fillId="7" borderId="0" xfId="0" applyFill="1" applyBorder="1" applyAlignment="1">
      <alignment horizontal="left" vertical="center" wrapText="1"/>
    </xf>
    <xf numFmtId="0" fontId="0" fillId="7" borderId="0" xfId="0" applyFont="1" applyFill="1" applyBorder="1" applyAlignment="1">
      <alignment horizontal="left" vertical="center" wrapText="1"/>
    </xf>
    <xf numFmtId="0" fontId="51" fillId="4" borderId="0" xfId="0" applyFont="1" applyFill="1" applyBorder="1" applyAlignment="1">
      <alignment vertical="center"/>
    </xf>
    <xf numFmtId="0" fontId="38" fillId="4" borderId="0" xfId="0" applyFont="1" applyFill="1" applyBorder="1" applyAlignment="1">
      <alignment vertical="center"/>
    </xf>
    <xf numFmtId="0" fontId="50" fillId="4" borderId="0" xfId="0" applyFont="1" applyFill="1" applyBorder="1" applyAlignment="1">
      <alignment vertical="center"/>
    </xf>
    <xf numFmtId="0" fontId="24" fillId="4" borderId="0" xfId="0" applyFont="1" applyFill="1" applyBorder="1" applyAlignment="1">
      <alignment horizontal="left" vertical="center"/>
    </xf>
    <xf numFmtId="0" fontId="6" fillId="7" borderId="0" xfId="0" applyFont="1" applyFill="1" applyAlignment="1">
      <alignment vertical="center" wrapText="1"/>
    </xf>
    <xf numFmtId="0" fontId="4" fillId="7" borderId="0" xfId="0" applyFont="1" applyFill="1" applyBorder="1" applyAlignment="1">
      <alignment horizontal="left" vertical="center" wrapText="1"/>
    </xf>
    <xf numFmtId="0" fontId="0" fillId="4" borderId="0" xfId="0" applyFill="1" applyBorder="1" applyAlignment="1">
      <alignment horizontal="center" vertical="center"/>
    </xf>
    <xf numFmtId="0" fontId="6" fillId="4" borderId="12" xfId="0" applyFont="1" applyFill="1" applyBorder="1" applyAlignment="1">
      <alignment vertical="center"/>
    </xf>
    <xf numFmtId="0" fontId="6" fillId="4" borderId="14" xfId="0" applyFont="1" applyFill="1" applyBorder="1" applyAlignment="1">
      <alignment vertical="center"/>
    </xf>
    <xf numFmtId="0" fontId="52" fillId="7" borderId="0" xfId="0" applyFont="1" applyFill="1" applyAlignment="1">
      <alignment vertical="center"/>
    </xf>
    <xf numFmtId="0" fontId="0" fillId="7" borderId="0" xfId="0" applyFill="1" applyBorder="1" applyAlignment="1">
      <alignment horizontal="left" vertical="center" wrapText="1"/>
    </xf>
    <xf numFmtId="0" fontId="6" fillId="7" borderId="0" xfId="0" applyFont="1" applyFill="1" applyBorder="1" applyAlignment="1">
      <alignment horizontal="left" vertical="center" wrapText="1"/>
    </xf>
    <xf numFmtId="0" fontId="38" fillId="4" borderId="0" xfId="0" applyFont="1" applyFill="1" applyAlignment="1">
      <alignment vertical="center" wrapText="1"/>
    </xf>
    <xf numFmtId="0" fontId="15" fillId="4" borderId="0" xfId="18" applyFill="1" applyBorder="1" applyAlignment="1">
      <alignment vertical="center" wrapText="1"/>
    </xf>
    <xf numFmtId="0" fontId="21" fillId="4" borderId="0" xfId="19" applyFill="1" applyAlignment="1">
      <alignment vertical="center" wrapText="1"/>
    </xf>
    <xf numFmtId="0" fontId="5" fillId="4" borderId="0" xfId="19" applyFont="1" applyFill="1" applyBorder="1" applyAlignment="1">
      <alignment vertical="center" wrapText="1"/>
    </xf>
    <xf numFmtId="0" fontId="40" fillId="4" borderId="0" xfId="19" applyFont="1" applyFill="1" applyBorder="1" applyAlignment="1">
      <alignment vertical="center" wrapText="1"/>
    </xf>
    <xf numFmtId="0" fontId="30" fillId="4" borderId="0" xfId="19" applyFont="1" applyFill="1" applyBorder="1" applyAlignment="1">
      <alignment vertical="center" wrapText="1"/>
    </xf>
    <xf numFmtId="0" fontId="35" fillId="4" borderId="0" xfId="0" applyFont="1" applyFill="1" applyBorder="1" applyAlignment="1">
      <alignment vertical="center" wrapText="1"/>
    </xf>
    <xf numFmtId="0" fontId="0" fillId="4" borderId="0" xfId="0" applyFill="1" applyAlignment="1">
      <alignment vertical="center" wrapText="1"/>
    </xf>
    <xf numFmtId="0" fontId="14" fillId="6" borderId="0" xfId="0" applyFont="1" applyFill="1" applyBorder="1" applyAlignment="1">
      <alignment vertical="center" wrapText="1"/>
    </xf>
    <xf numFmtId="0" fontId="8" fillId="7" borderId="0" xfId="0" applyFont="1" applyFill="1" applyBorder="1" applyAlignment="1">
      <alignment vertical="center" wrapText="1"/>
    </xf>
    <xf numFmtId="0" fontId="10" fillId="7" borderId="0" xfId="0" applyFont="1" applyFill="1" applyBorder="1" applyAlignment="1">
      <alignment vertical="center" wrapText="1"/>
    </xf>
    <xf numFmtId="0" fontId="8" fillId="4" borderId="0" xfId="0" applyFont="1" applyFill="1" applyBorder="1" applyAlignment="1">
      <alignment vertical="center" wrapText="1"/>
    </xf>
    <xf numFmtId="0" fontId="0" fillId="0" borderId="0" xfId="0" applyAlignment="1">
      <alignment vertical="center" wrapText="1"/>
    </xf>
    <xf numFmtId="0" fontId="6" fillId="7" borderId="0" xfId="0" applyFont="1" applyFill="1" applyBorder="1" applyAlignment="1">
      <alignment vertical="center" wrapText="1"/>
    </xf>
    <xf numFmtId="0" fontId="0" fillId="7" borderId="0" xfId="0" applyFill="1" applyBorder="1" applyAlignment="1">
      <alignment horizontal="left" vertical="center" wrapText="1"/>
    </xf>
    <xf numFmtId="0" fontId="49" fillId="7" borderId="0" xfId="0" applyFont="1" applyFill="1" applyAlignment="1">
      <alignment vertical="center" wrapText="1"/>
    </xf>
    <xf numFmtId="0" fontId="49" fillId="4" borderId="0" xfId="0" applyFont="1" applyFill="1" applyAlignment="1">
      <alignment vertical="center"/>
    </xf>
    <xf numFmtId="0" fontId="0" fillId="7" borderId="0" xfId="0" applyFill="1" applyBorder="1" applyAlignment="1">
      <alignment horizontal="left" vertical="center" wrapText="1"/>
    </xf>
    <xf numFmtId="0" fontId="47" fillId="4" borderId="9" xfId="19" applyFont="1" applyFill="1" applyBorder="1" applyAlignment="1">
      <alignment vertical="center"/>
    </xf>
    <xf numFmtId="0" fontId="6" fillId="4" borderId="15" xfId="19" applyFont="1" applyFill="1" applyBorder="1" applyAlignment="1">
      <alignment vertical="center"/>
    </xf>
    <xf numFmtId="0" fontId="6" fillId="4" borderId="15" xfId="19" applyFont="1" applyFill="1" applyBorder="1" applyAlignment="1">
      <alignment horizontal="left"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6" fillId="4" borderId="11" xfId="19" applyFont="1" applyFill="1" applyBorder="1" applyAlignment="1">
      <alignment vertical="center"/>
    </xf>
    <xf numFmtId="0" fontId="6" fillId="4" borderId="13" xfId="19" applyFont="1" applyFill="1" applyBorder="1" applyAlignment="1">
      <alignment vertical="center"/>
    </xf>
    <xf numFmtId="0" fontId="6" fillId="4" borderId="16" xfId="19" applyFont="1" applyFill="1" applyBorder="1" applyAlignment="1">
      <alignment vertical="center"/>
    </xf>
    <xf numFmtId="0" fontId="6" fillId="4" borderId="16" xfId="19" applyFont="1" applyFill="1" applyBorder="1" applyAlignment="1">
      <alignment horizontal="left" vertical="center"/>
    </xf>
    <xf numFmtId="0" fontId="6" fillId="4" borderId="16" xfId="0" applyFont="1" applyFill="1" applyBorder="1" applyAlignment="1">
      <alignment vertical="center"/>
    </xf>
    <xf numFmtId="0" fontId="47" fillId="4" borderId="11" xfId="19" applyFont="1" applyFill="1" applyBorder="1" applyAlignment="1">
      <alignment vertical="center"/>
    </xf>
    <xf numFmtId="0" fontId="6" fillId="4" borderId="15" xfId="19" applyFont="1" applyFill="1" applyBorder="1" applyAlignment="1">
      <alignment vertical="center" wrapText="1"/>
    </xf>
    <xf numFmtId="0" fontId="6" fillId="4" borderId="16" xfId="19" applyFont="1" applyFill="1" applyBorder="1" applyAlignment="1">
      <alignment vertical="center" wrapText="1"/>
    </xf>
    <xf numFmtId="0" fontId="0" fillId="7" borderId="0" xfId="0" applyFill="1" applyBorder="1" applyAlignment="1">
      <alignment horizontal="left" vertical="center" wrapText="1"/>
    </xf>
    <xf numFmtId="0" fontId="6" fillId="4"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12" fillId="4" borderId="0" xfId="23" applyFill="1" applyBorder="1" applyAlignment="1">
      <alignment vertical="center"/>
    </xf>
    <xf numFmtId="0" fontId="47" fillId="4" borderId="13" xfId="0" applyFont="1" applyFill="1" applyBorder="1" applyAlignment="1">
      <alignment vertical="center"/>
    </xf>
    <xf numFmtId="0" fontId="4" fillId="7" borderId="0" xfId="0" applyFont="1" applyFill="1" applyBorder="1" applyAlignment="1">
      <alignment horizontal="left" vertical="center" wrapText="1"/>
    </xf>
    <xf numFmtId="0" fontId="53" fillId="3" borderId="17" xfId="24" applyFill="1" applyAlignment="1">
      <alignment horizontal="center" vertical="center"/>
    </xf>
    <xf numFmtId="0" fontId="34" fillId="4" borderId="0" xfId="0" applyFont="1" applyFill="1" applyAlignment="1">
      <alignment vertical="center"/>
    </xf>
    <xf numFmtId="0" fontId="0" fillId="7" borderId="0" xfId="0" applyFill="1" applyBorder="1" applyAlignment="1">
      <alignment horizontal="left" vertical="center" wrapText="1"/>
    </xf>
    <xf numFmtId="0" fontId="6" fillId="4" borderId="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49" fillId="7" borderId="0" xfId="0" applyFont="1" applyFill="1" applyBorder="1" applyAlignment="1">
      <alignment horizontal="center" vertical="center"/>
    </xf>
    <xf numFmtId="0" fontId="34" fillId="7" borderId="0" xfId="0" applyFont="1" applyFill="1" applyBorder="1" applyAlignment="1">
      <alignment horizontal="left" vertical="center" wrapText="1"/>
    </xf>
    <xf numFmtId="0" fontId="49" fillId="7" borderId="0" xfId="0" applyFont="1" applyFill="1" applyBorder="1" applyAlignment="1">
      <alignment horizontal="left" vertical="center"/>
    </xf>
    <xf numFmtId="0" fontId="36" fillId="7" borderId="0" xfId="0" applyFont="1" applyFill="1" applyBorder="1" applyAlignment="1">
      <alignment horizontal="left" vertical="center" wrapText="1"/>
    </xf>
    <xf numFmtId="0" fontId="46" fillId="4" borderId="0" xfId="0" applyFont="1" applyFill="1" applyBorder="1" applyAlignment="1">
      <alignment vertical="center"/>
    </xf>
    <xf numFmtId="0" fontId="46" fillId="4" borderId="11" xfId="0" applyFont="1" applyFill="1" applyBorder="1" applyAlignment="1">
      <alignment vertical="center"/>
    </xf>
    <xf numFmtId="0" fontId="54" fillId="4" borderId="0" xfId="19" applyFont="1" applyFill="1" applyAlignment="1">
      <alignment vertical="center" wrapText="1"/>
    </xf>
    <xf numFmtId="0" fontId="54" fillId="4" borderId="0" xfId="19" applyFont="1" applyFill="1" applyAlignment="1">
      <alignment horizontal="left" vertical="center"/>
    </xf>
    <xf numFmtId="0" fontId="54" fillId="4" borderId="0" xfId="0" applyFont="1" applyFill="1" applyBorder="1" applyAlignment="1">
      <alignment vertical="center"/>
    </xf>
    <xf numFmtId="0" fontId="54" fillId="4" borderId="0" xfId="0" applyFont="1" applyFill="1" applyAlignment="1">
      <alignment vertical="center"/>
    </xf>
    <xf numFmtId="0" fontId="54" fillId="0" borderId="0" xfId="0" applyFont="1" applyAlignment="1">
      <alignment vertical="center"/>
    </xf>
    <xf numFmtId="0" fontId="6" fillId="7" borderId="0" xfId="1" applyFont="1" applyFill="1" applyBorder="1" applyAlignment="1">
      <alignment horizontal="center" vertical="center"/>
    </xf>
    <xf numFmtId="0" fontId="44" fillId="4" borderId="0" xfId="23" applyFont="1" applyFill="1" applyBorder="1" applyAlignment="1">
      <alignment vertical="center"/>
    </xf>
    <xf numFmtId="0" fontId="0" fillId="9" borderId="0" xfId="0" applyFill="1" applyBorder="1" applyAlignment="1">
      <alignment horizontal="center" vertical="center"/>
    </xf>
    <xf numFmtId="0" fontId="0" fillId="7" borderId="9" xfId="0" applyFill="1" applyBorder="1" applyAlignment="1">
      <alignment horizontal="left" vertical="center" wrapText="1"/>
    </xf>
    <xf numFmtId="0" fontId="0" fillId="7" borderId="15" xfId="0" applyFill="1" applyBorder="1" applyAlignment="1">
      <alignment horizontal="left" vertical="center" wrapText="1"/>
    </xf>
    <xf numFmtId="0" fontId="0" fillId="7" borderId="15" xfId="0" applyFill="1" applyBorder="1" applyAlignment="1">
      <alignment vertical="center" wrapText="1"/>
    </xf>
    <xf numFmtId="0" fontId="0" fillId="7" borderId="15" xfId="0" applyFill="1" applyBorder="1" applyAlignment="1">
      <alignment horizontal="left" vertical="center"/>
    </xf>
    <xf numFmtId="0" fontId="0" fillId="7" borderId="15" xfId="0" applyFill="1" applyBorder="1" applyAlignment="1">
      <alignment horizontal="center" vertical="center"/>
    </xf>
    <xf numFmtId="0" fontId="0" fillId="7" borderId="10" xfId="0" applyFill="1" applyBorder="1" applyAlignment="1">
      <alignment vertical="center"/>
    </xf>
    <xf numFmtId="0" fontId="0" fillId="7" borderId="11" xfId="0" applyFill="1" applyBorder="1" applyAlignment="1">
      <alignment horizontal="right" vertical="center" wrapText="1"/>
    </xf>
    <xf numFmtId="0" fontId="0" fillId="7" borderId="12" xfId="0" applyFill="1" applyBorder="1" applyAlignment="1">
      <alignment vertical="center"/>
    </xf>
    <xf numFmtId="0" fontId="0" fillId="7" borderId="13" xfId="0" applyFill="1" applyBorder="1" applyAlignment="1">
      <alignment horizontal="left" vertical="center" wrapText="1"/>
    </xf>
    <xf numFmtId="0" fontId="0" fillId="7" borderId="16" xfId="0" applyFill="1" applyBorder="1" applyAlignment="1">
      <alignment horizontal="left" vertical="center" wrapText="1"/>
    </xf>
    <xf numFmtId="0" fontId="0" fillId="7" borderId="16" xfId="0" applyFill="1" applyBorder="1" applyAlignment="1">
      <alignment vertical="center" wrapText="1"/>
    </xf>
    <xf numFmtId="0" fontId="0" fillId="7" borderId="16" xfId="0" applyFill="1" applyBorder="1" applyAlignment="1">
      <alignment horizontal="left" vertical="center"/>
    </xf>
    <xf numFmtId="0" fontId="0" fillId="7" borderId="16" xfId="0" applyFill="1" applyBorder="1" applyAlignment="1">
      <alignment horizontal="center" vertical="center"/>
    </xf>
    <xf numFmtId="0" fontId="0" fillId="7" borderId="14" xfId="0" applyFill="1" applyBorder="1" applyAlignment="1">
      <alignment vertical="center"/>
    </xf>
    <xf numFmtId="0" fontId="0" fillId="7" borderId="11" xfId="0" applyFill="1" applyBorder="1" applyAlignment="1">
      <alignment horizontal="left" vertical="center" wrapText="1"/>
    </xf>
    <xf numFmtId="0" fontId="4" fillId="7" borderId="11" xfId="0" applyFont="1" applyFill="1" applyBorder="1" applyAlignment="1">
      <alignment horizontal="left" vertical="center"/>
    </xf>
    <xf numFmtId="0" fontId="0" fillId="7" borderId="0" xfId="0" applyFill="1" applyBorder="1" applyAlignment="1">
      <alignment horizontal="left" vertical="center" wrapText="1"/>
    </xf>
    <xf numFmtId="11" fontId="2" fillId="3" borderId="2" xfId="2" applyNumberFormat="1" applyAlignment="1">
      <alignment horizontal="center" vertical="center"/>
    </xf>
    <xf numFmtId="0" fontId="8" fillId="4" borderId="0" xfId="0" applyFont="1" applyFill="1" applyBorder="1" applyAlignment="1">
      <alignment horizontal="left" vertical="center"/>
    </xf>
    <xf numFmtId="0" fontId="0" fillId="7" borderId="0" xfId="0" applyFill="1" applyBorder="1" applyAlignment="1">
      <alignment horizontal="left" vertical="center" wrapText="1"/>
    </xf>
    <xf numFmtId="0" fontId="6" fillId="4" borderId="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0" fillId="7" borderId="0" xfId="0" applyFill="1" applyBorder="1" applyAlignment="1">
      <alignment horizontal="left" vertical="center" wrapText="1"/>
    </xf>
    <xf numFmtId="0" fontId="0" fillId="7" borderId="0" xfId="0" applyFill="1" applyBorder="1" applyAlignment="1">
      <alignment horizontal="left" vertical="center" wrapText="1"/>
    </xf>
    <xf numFmtId="0" fontId="4" fillId="7" borderId="0" xfId="0" applyFont="1" applyFill="1" applyBorder="1" applyAlignment="1">
      <alignment horizontal="left" vertical="center" wrapText="1"/>
    </xf>
    <xf numFmtId="0" fontId="56" fillId="4" borderId="0" xfId="19" applyFont="1" applyFill="1" applyAlignment="1">
      <alignment vertical="center" wrapText="1"/>
    </xf>
    <xf numFmtId="0" fontId="56" fillId="4" borderId="0" xfId="19" applyFont="1" applyFill="1" applyAlignment="1">
      <alignment horizontal="left" vertical="center"/>
    </xf>
    <xf numFmtId="0" fontId="0" fillId="7" borderId="11" xfId="0" applyFill="1" applyBorder="1" applyAlignment="1">
      <alignment horizontal="left" vertical="center"/>
    </xf>
    <xf numFmtId="0" fontId="0" fillId="7" borderId="0" xfId="0" applyFill="1" applyBorder="1" applyAlignment="1">
      <alignment horizontal="left" vertical="center" wrapText="1"/>
    </xf>
    <xf numFmtId="0" fontId="0" fillId="7" borderId="0" xfId="0" applyFill="1" applyBorder="1" applyAlignment="1">
      <alignment horizontal="right" vertical="center" wrapText="1"/>
    </xf>
    <xf numFmtId="0" fontId="33" fillId="10" borderId="0" xfId="0" applyFont="1" applyFill="1" applyAlignment="1">
      <alignment vertical="center"/>
    </xf>
    <xf numFmtId="0" fontId="0" fillId="10" borderId="0" xfId="0" applyFill="1" applyAlignment="1">
      <alignment vertical="center"/>
    </xf>
    <xf numFmtId="0" fontId="4" fillId="7" borderId="0" xfId="0" applyFont="1" applyFill="1" applyBorder="1" applyAlignment="1">
      <alignment vertical="center"/>
    </xf>
    <xf numFmtId="0" fontId="44" fillId="4" borderId="0" xfId="23" applyFont="1" applyFill="1" applyBorder="1" applyAlignment="1">
      <alignment horizontal="left" vertical="center" wrapText="1"/>
    </xf>
    <xf numFmtId="0" fontId="0" fillId="7" borderId="0" xfId="0" applyFill="1" applyBorder="1" applyAlignment="1">
      <alignment horizontal="left" vertical="center" wrapText="1"/>
    </xf>
    <xf numFmtId="0" fontId="4" fillId="7" borderId="0" xfId="0" applyFont="1" applyFill="1" applyBorder="1" applyAlignment="1">
      <alignment horizontal="left" vertical="center" wrapText="1"/>
    </xf>
    <xf numFmtId="0" fontId="0" fillId="7" borderId="0" xfId="0" applyFill="1" applyBorder="1" applyAlignment="1">
      <alignment horizontal="left" vertical="center" wrapText="1"/>
    </xf>
    <xf numFmtId="0" fontId="4" fillId="7"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59" fillId="7" borderId="0" xfId="0" applyFont="1" applyFill="1" applyAlignment="1">
      <alignment vertical="center" wrapText="1"/>
    </xf>
    <xf numFmtId="0" fontId="0" fillId="7" borderId="15" xfId="0" applyFill="1" applyBorder="1" applyAlignment="1">
      <alignment vertical="center"/>
    </xf>
    <xf numFmtId="0" fontId="6" fillId="7" borderId="15" xfId="0" applyFont="1" applyFill="1" applyBorder="1" applyAlignment="1">
      <alignment horizontal="center" vertical="center"/>
    </xf>
    <xf numFmtId="0" fontId="59" fillId="7" borderId="10" xfId="0" applyFont="1" applyFill="1" applyBorder="1" applyAlignment="1">
      <alignment vertical="center" wrapText="1"/>
    </xf>
    <xf numFmtId="0" fontId="59" fillId="7" borderId="12" xfId="0" applyFont="1" applyFill="1" applyBorder="1" applyAlignment="1">
      <alignment vertical="center" wrapText="1"/>
    </xf>
    <xf numFmtId="0" fontId="0" fillId="7" borderId="16" xfId="0" applyFill="1" applyBorder="1" applyAlignment="1">
      <alignment vertical="center"/>
    </xf>
    <xf numFmtId="0" fontId="6" fillId="7" borderId="16" xfId="0" applyFont="1" applyFill="1" applyBorder="1" applyAlignment="1">
      <alignment horizontal="center" vertical="center"/>
    </xf>
    <xf numFmtId="0" fontId="59" fillId="7" borderId="14" xfId="0" applyFont="1" applyFill="1" applyBorder="1" applyAlignment="1">
      <alignment vertical="center" wrapText="1"/>
    </xf>
    <xf numFmtId="0" fontId="6" fillId="7" borderId="12" xfId="0" applyFont="1" applyFill="1" applyBorder="1" applyAlignment="1">
      <alignment vertical="center" wrapText="1"/>
    </xf>
    <xf numFmtId="0" fontId="2" fillId="3" borderId="2" xfId="2" applyBorder="1" applyAlignment="1">
      <alignment horizontal="center" vertical="center"/>
    </xf>
    <xf numFmtId="0" fontId="0" fillId="7" borderId="0" xfId="0" applyFill="1" applyBorder="1" applyAlignment="1">
      <alignment horizontal="left" vertical="center" wrapText="1"/>
    </xf>
    <xf numFmtId="0" fontId="6" fillId="4" borderId="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47" fillId="7" borderId="0" xfId="0" applyFont="1" applyFill="1" applyBorder="1" applyAlignment="1">
      <alignment vertical="center"/>
    </xf>
    <xf numFmtId="0" fontId="5" fillId="7" borderId="0" xfId="19" applyFont="1" applyFill="1" applyAlignment="1">
      <alignment vertical="center" wrapText="1"/>
    </xf>
    <xf numFmtId="0" fontId="5" fillId="7" borderId="0" xfId="19" applyFont="1" applyFill="1" applyAlignment="1">
      <alignment horizontal="left" vertical="center"/>
    </xf>
    <xf numFmtId="0" fontId="36" fillId="4" borderId="0" xfId="0" applyFont="1" applyFill="1" applyAlignment="1">
      <alignment vertical="center"/>
    </xf>
    <xf numFmtId="0" fontId="0" fillId="7" borderId="0" xfId="0" applyFill="1" applyBorder="1" applyAlignment="1">
      <alignment horizontal="left" vertical="center" wrapText="1" indent="1"/>
    </xf>
    <xf numFmtId="0" fontId="0" fillId="7" borderId="4" xfId="0" applyFill="1" applyBorder="1" applyAlignment="1">
      <alignment vertical="center" wrapText="1"/>
    </xf>
    <xf numFmtId="0" fontId="60" fillId="7" borderId="0" xfId="0" applyFont="1" applyFill="1" applyBorder="1" applyAlignment="1">
      <alignment vertical="center"/>
    </xf>
    <xf numFmtId="0" fontId="0" fillId="7" borderId="0" xfId="0" applyFill="1" applyBorder="1" applyAlignment="1" applyProtection="1">
      <alignment horizontal="center" vertical="center" wrapText="1"/>
      <protection locked="0"/>
    </xf>
    <xf numFmtId="0" fontId="0" fillId="7" borderId="0" xfId="0" applyFill="1" applyBorder="1" applyAlignment="1" applyProtection="1">
      <alignment horizontal="center" vertical="center"/>
      <protection locked="0"/>
    </xf>
    <xf numFmtId="0" fontId="6" fillId="8" borderId="6" xfId="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protection locked="0"/>
    </xf>
    <xf numFmtId="0" fontId="0" fillId="7" borderId="0" xfId="0" applyFill="1" applyBorder="1" applyAlignment="1" applyProtection="1">
      <alignment horizontal="left" vertical="center"/>
      <protection locked="0"/>
    </xf>
    <xf numFmtId="11" fontId="0" fillId="7" borderId="0" xfId="0" applyNumberFormat="1" applyFill="1" applyBorder="1" applyAlignment="1" applyProtection="1">
      <alignment horizontal="center" vertical="center"/>
      <protection locked="0"/>
    </xf>
    <xf numFmtId="0" fontId="0" fillId="7" borderId="0" xfId="0" applyNumberFormat="1" applyFill="1" applyBorder="1" applyAlignment="1" applyProtection="1">
      <alignment horizontal="center" vertical="center"/>
      <protection locked="0"/>
    </xf>
    <xf numFmtId="0" fontId="0" fillId="7" borderId="0" xfId="0" applyFill="1" applyBorder="1" applyAlignment="1" applyProtection="1">
      <alignment vertical="center"/>
      <protection locked="0"/>
    </xf>
    <xf numFmtId="11" fontId="0" fillId="7" borderId="0" xfId="0" applyNumberFormat="1" applyFill="1" applyBorder="1" applyAlignment="1" applyProtection="1">
      <alignment horizontal="center" vertical="center" wrapText="1"/>
      <protection locked="0"/>
    </xf>
    <xf numFmtId="0" fontId="43" fillId="4" borderId="0" xfId="19" applyFont="1" applyFill="1" applyBorder="1" applyAlignment="1">
      <alignment vertical="center"/>
    </xf>
    <xf numFmtId="0" fontId="46" fillId="4" borderId="12" xfId="0" applyFont="1" applyFill="1" applyBorder="1" applyAlignment="1">
      <alignment vertical="center"/>
    </xf>
    <xf numFmtId="0" fontId="0" fillId="4" borderId="12" xfId="0" applyFill="1" applyBorder="1"/>
    <xf numFmtId="0" fontId="46" fillId="4" borderId="11" xfId="22" applyFont="1" applyFill="1" applyBorder="1" applyAlignment="1">
      <alignment vertical="center"/>
    </xf>
    <xf numFmtId="0" fontId="0" fillId="7" borderId="0" xfId="0" applyFill="1" applyBorder="1" applyAlignment="1">
      <alignment horizontal="left" vertical="center" wrapText="1"/>
    </xf>
    <xf numFmtId="0" fontId="46" fillId="4" borderId="11" xfId="0" applyFont="1" applyFill="1" applyBorder="1" applyAlignment="1">
      <alignment horizontal="left" vertical="center"/>
    </xf>
    <xf numFmtId="0" fontId="46" fillId="4" borderId="0" xfId="0" applyFont="1" applyFill="1" applyBorder="1" applyAlignment="1">
      <alignment horizontal="left" vertical="center"/>
    </xf>
    <xf numFmtId="0" fontId="0" fillId="7" borderId="0" xfId="0" applyFill="1" applyBorder="1" applyAlignment="1">
      <alignment horizontal="left" vertical="center" wrapText="1"/>
    </xf>
    <xf numFmtId="0" fontId="4" fillId="7" borderId="0" xfId="0" applyFont="1" applyFill="1" applyBorder="1" applyAlignment="1">
      <alignment horizontal="left" vertical="center" wrapText="1"/>
    </xf>
    <xf numFmtId="0" fontId="0" fillId="7" borderId="0" xfId="0" applyFill="1" applyBorder="1" applyAlignment="1">
      <alignment horizontal="left" vertical="center" wrapText="1"/>
    </xf>
    <xf numFmtId="0" fontId="6" fillId="4" borderId="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0" fillId="7" borderId="0" xfId="0" applyFill="1" applyBorder="1" applyAlignment="1">
      <alignment horizontal="left" vertical="center" wrapText="1"/>
    </xf>
    <xf numFmtId="0" fontId="45" fillId="4" borderId="0" xfId="0" applyFont="1" applyFill="1" applyBorder="1" applyAlignment="1">
      <alignment horizontal="left" vertical="center" wrapText="1"/>
    </xf>
    <xf numFmtId="0" fontId="0" fillId="7" borderId="0" xfId="0" applyFill="1" applyBorder="1" applyAlignment="1">
      <alignment horizontal="left" vertical="center" wrapText="1"/>
    </xf>
    <xf numFmtId="0" fontId="4" fillId="7"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0" fillId="7" borderId="0" xfId="0" applyFill="1" applyBorder="1" applyAlignment="1">
      <alignment horizontal="left" vertical="center" wrapText="1"/>
    </xf>
    <xf numFmtId="0" fontId="4" fillId="7" borderId="0" xfId="0" applyFont="1" applyFill="1" applyBorder="1" applyAlignment="1">
      <alignment horizontal="left" vertical="center" wrapText="1"/>
    </xf>
    <xf numFmtId="0" fontId="3" fillId="11" borderId="0" xfId="0" applyFont="1" applyFill="1" applyBorder="1" applyAlignment="1">
      <alignment horizontal="left" vertical="center" wrapText="1"/>
    </xf>
    <xf numFmtId="0" fontId="49" fillId="7" borderId="0" xfId="0" applyFont="1" applyFill="1" applyBorder="1" applyAlignment="1">
      <alignment vertical="center" wrapText="1"/>
    </xf>
    <xf numFmtId="0" fontId="6" fillId="4"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4" borderId="0" xfId="0" applyFont="1" applyFill="1" applyBorder="1" applyAlignment="1">
      <alignment horizontal="left" vertical="center"/>
    </xf>
    <xf numFmtId="0" fontId="24" fillId="7" borderId="0" xfId="0" applyFont="1" applyFill="1" applyBorder="1" applyAlignment="1">
      <alignment horizontal="center" vertical="center"/>
    </xf>
    <xf numFmtId="0" fontId="12" fillId="0" borderId="0" xfId="23"/>
    <xf numFmtId="0" fontId="36" fillId="7" borderId="0" xfId="0" applyFont="1" applyFill="1" applyBorder="1" applyAlignment="1">
      <alignment horizontal="left" vertical="center"/>
    </xf>
    <xf numFmtId="0" fontId="24" fillId="7" borderId="0" xfId="0" applyFont="1" applyFill="1" applyBorder="1" applyAlignment="1">
      <alignment horizontal="left" vertical="center"/>
    </xf>
    <xf numFmtId="0" fontId="6" fillId="7" borderId="0" xfId="0" applyFont="1" applyFill="1" applyBorder="1" applyAlignment="1">
      <alignment horizontal="center" vertical="center" wrapText="1"/>
    </xf>
    <xf numFmtId="0" fontId="6" fillId="7" borderId="0" xfId="0" applyFont="1" applyFill="1" applyBorder="1" applyAlignment="1">
      <alignment horizontal="left" vertical="center" wrapText="1" indent="1"/>
    </xf>
    <xf numFmtId="0" fontId="39" fillId="4" borderId="0" xfId="0" applyFont="1" applyFill="1" applyBorder="1" applyAlignment="1">
      <alignment horizontal="left" vertical="center" wrapText="1"/>
    </xf>
    <xf numFmtId="0" fontId="11" fillId="5" borderId="3" xfId="3" applyAlignment="1" applyProtection="1">
      <alignment horizontal="center" vertical="center" wrapText="1"/>
      <protection locked="0"/>
    </xf>
    <xf numFmtId="0" fontId="11" fillId="5" borderId="3" xfId="3" applyAlignment="1" applyProtection="1">
      <alignment horizontal="center" vertical="center"/>
      <protection locked="0"/>
    </xf>
    <xf numFmtId="11" fontId="23" fillId="3" borderId="1" xfId="20" applyNumberFormat="1" applyAlignment="1">
      <alignment horizontal="center" vertical="center"/>
    </xf>
    <xf numFmtId="1" fontId="0" fillId="7" borderId="0" xfId="0" applyNumberFormat="1" applyFill="1" applyBorder="1" applyAlignment="1" applyProtection="1">
      <alignment horizontal="center" vertical="center"/>
      <protection locked="0"/>
    </xf>
    <xf numFmtId="0" fontId="63" fillId="4" borderId="0" xfId="0" applyFont="1" applyFill="1" applyAlignment="1">
      <alignment vertical="center"/>
    </xf>
    <xf numFmtId="0" fontId="38" fillId="4" borderId="0" xfId="0" applyFont="1" applyFill="1" applyAlignment="1">
      <alignment vertical="top"/>
    </xf>
    <xf numFmtId="14" fontId="40" fillId="4" borderId="0" xfId="0" applyNumberFormat="1" applyFont="1" applyFill="1" applyAlignment="1">
      <alignment vertical="top"/>
    </xf>
    <xf numFmtId="14" fontId="40" fillId="4" borderId="0" xfId="0" applyNumberFormat="1" applyFont="1" applyFill="1" applyAlignment="1">
      <alignment horizontal="right" vertical="top"/>
    </xf>
    <xf numFmtId="0" fontId="0" fillId="7" borderId="0" xfId="0" applyFill="1" applyBorder="1" applyAlignment="1">
      <alignment horizontal="left" vertical="center" wrapText="1"/>
    </xf>
    <xf numFmtId="0" fontId="6" fillId="7" borderId="0" xfId="0" applyFont="1" applyFill="1" applyBorder="1" applyAlignment="1">
      <alignment horizontal="left" vertical="center" wrapText="1"/>
    </xf>
    <xf numFmtId="0" fontId="0" fillId="7" borderId="11" xfId="0" applyFill="1" applyBorder="1" applyAlignment="1">
      <alignment horizontal="left" vertical="center" wrapText="1"/>
    </xf>
    <xf numFmtId="0" fontId="0" fillId="7" borderId="0" xfId="0" applyFill="1" applyBorder="1" applyAlignment="1">
      <alignment horizontal="left" vertical="center" wrapText="1"/>
    </xf>
    <xf numFmtId="0" fontId="6" fillId="7" borderId="0" xfId="0" applyFont="1" applyFill="1" applyBorder="1" applyAlignment="1">
      <alignment horizontal="left" vertical="center" wrapText="1"/>
    </xf>
    <xf numFmtId="11" fontId="6" fillId="8" borderId="6" xfId="1" applyNumberFormat="1" applyFont="1" applyFill="1" applyBorder="1" applyAlignment="1" applyProtection="1">
      <alignment horizontal="center" vertical="center"/>
      <protection locked="0"/>
    </xf>
    <xf numFmtId="0" fontId="49" fillId="7" borderId="0" xfId="0" applyFont="1" applyFill="1" applyBorder="1" applyAlignment="1">
      <alignment horizontal="left" vertical="center" wrapText="1"/>
    </xf>
    <xf numFmtId="0" fontId="24" fillId="7" borderId="0" xfId="0" applyFont="1" applyFill="1" applyBorder="1" applyAlignment="1">
      <alignment vertical="center"/>
    </xf>
    <xf numFmtId="0" fontId="0" fillId="7" borderId="0" xfId="0" applyFill="1" applyBorder="1" applyAlignment="1">
      <alignment horizontal="left" vertical="center" wrapText="1"/>
    </xf>
    <xf numFmtId="0" fontId="6" fillId="7" borderId="0" xfId="0" applyFont="1" applyFill="1" applyBorder="1" applyAlignment="1">
      <alignment horizontal="left" vertical="center" wrapText="1"/>
    </xf>
    <xf numFmtId="0" fontId="65" fillId="7" borderId="0" xfId="0" applyFont="1" applyFill="1" applyBorder="1" applyAlignment="1">
      <alignment horizontal="left" vertical="center"/>
    </xf>
    <xf numFmtId="0" fontId="0" fillId="7" borderId="0" xfId="0" applyFill="1" applyBorder="1" applyAlignment="1">
      <alignment horizontal="left" vertical="center" wrapText="1"/>
    </xf>
    <xf numFmtId="0" fontId="6" fillId="7" borderId="0" xfId="0" applyFont="1" applyFill="1" applyBorder="1" applyAlignment="1">
      <alignment horizontal="left" vertical="center" wrapText="1"/>
    </xf>
    <xf numFmtId="0" fontId="57" fillId="7" borderId="0" xfId="0" applyFont="1" applyFill="1" applyBorder="1" applyAlignment="1">
      <alignment horizontal="left" vertical="center" wrapText="1"/>
    </xf>
    <xf numFmtId="0" fontId="0" fillId="7" borderId="0" xfId="0" applyFill="1" applyBorder="1" applyAlignment="1">
      <alignment horizontal="left" vertical="center" wrapText="1" indent="1"/>
    </xf>
    <xf numFmtId="0" fontId="0" fillId="7" borderId="0" xfId="0" applyFill="1" applyBorder="1" applyAlignment="1">
      <alignment horizontal="left" vertical="center" wrapText="1"/>
    </xf>
    <xf numFmtId="0" fontId="6" fillId="7" borderId="0" xfId="0" applyFont="1" applyFill="1" applyBorder="1" applyAlignment="1">
      <alignment horizontal="left" vertical="center" wrapText="1"/>
    </xf>
    <xf numFmtId="0" fontId="59" fillId="7" borderId="0" xfId="0" applyFont="1" applyFill="1" applyBorder="1" applyAlignment="1">
      <alignment vertical="center" wrapText="1"/>
    </xf>
    <xf numFmtId="0" fontId="59" fillId="7" borderId="0" xfId="0" applyFont="1" applyFill="1" applyBorder="1" applyAlignment="1">
      <alignment horizontal="center" vertical="center"/>
    </xf>
    <xf numFmtId="0" fontId="0" fillId="4" borderId="0" xfId="0" quotePrefix="1" applyFont="1" applyFill="1" applyAlignment="1">
      <alignment vertical="center"/>
    </xf>
    <xf numFmtId="0" fontId="6" fillId="7" borderId="11" xfId="0" applyFont="1" applyFill="1" applyBorder="1" applyAlignment="1">
      <alignment horizontal="left" vertical="center"/>
    </xf>
    <xf numFmtId="0" fontId="6" fillId="7" borderId="12" xfId="0" applyFont="1" applyFill="1" applyBorder="1" applyAlignment="1">
      <alignment vertical="center"/>
    </xf>
    <xf numFmtId="11" fontId="36" fillId="3" borderId="2" xfId="2" applyNumberFormat="1" applyFont="1" applyAlignment="1">
      <alignment horizontal="center" vertical="center"/>
    </xf>
    <xf numFmtId="0" fontId="0" fillId="7" borderId="0" xfId="0" applyFill="1" applyBorder="1" applyAlignment="1">
      <alignment horizontal="left" vertical="center" wrapText="1"/>
    </xf>
    <xf numFmtId="0" fontId="6" fillId="7" borderId="0" xfId="0" applyFont="1" applyFill="1" applyBorder="1" applyAlignment="1">
      <alignment horizontal="left" vertical="center" wrapText="1"/>
    </xf>
    <xf numFmtId="0" fontId="0" fillId="7" borderId="0" xfId="0" applyFill="1" applyBorder="1" applyAlignment="1">
      <alignment horizontal="left" vertical="center" wrapText="1"/>
    </xf>
    <xf numFmtId="0" fontId="6" fillId="7" borderId="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6" fillId="4" borderId="0" xfId="0" applyFont="1" applyFill="1" applyBorder="1" applyAlignment="1">
      <alignment horizontal="left" vertical="center"/>
    </xf>
    <xf numFmtId="0" fontId="0" fillId="7" borderId="0" xfId="0" applyFill="1" applyBorder="1" applyAlignment="1">
      <alignment horizontal="left" vertical="top" wrapText="1"/>
    </xf>
    <xf numFmtId="0" fontId="6" fillId="4" borderId="0" xfId="0" applyFont="1" applyFill="1" applyBorder="1" applyAlignment="1">
      <alignment horizontal="left" vertical="center" wrapText="1"/>
    </xf>
    <xf numFmtId="0" fontId="6" fillId="4" borderId="0" xfId="0" applyFont="1" applyFill="1" applyBorder="1" applyAlignment="1">
      <alignment horizontal="left" vertical="center"/>
    </xf>
    <xf numFmtId="0" fontId="0" fillId="7" borderId="0" xfId="0" applyFill="1" applyBorder="1" applyAlignment="1" applyProtection="1">
      <alignment horizontal="left" vertical="center" wrapText="1"/>
    </xf>
    <xf numFmtId="0" fontId="12" fillId="0" borderId="0" xfId="23" applyAlignment="1">
      <alignment vertical="top"/>
    </xf>
    <xf numFmtId="0" fontId="66" fillId="4" borderId="0" xfId="0" applyFont="1" applyFill="1" applyAlignment="1">
      <alignment horizontal="left" vertical="top" wrapText="1"/>
    </xf>
    <xf numFmtId="0" fontId="37" fillId="4" borderId="0" xfId="18" applyFont="1" applyFill="1" applyBorder="1" applyAlignment="1">
      <alignment horizontal="left" wrapText="1"/>
    </xf>
    <xf numFmtId="0" fontId="40" fillId="4" borderId="0" xfId="0" applyFont="1" applyFill="1" applyAlignment="1">
      <alignment horizontal="justify" vertical="center" wrapText="1"/>
    </xf>
    <xf numFmtId="0" fontId="38" fillId="4" borderId="0" xfId="0" applyFont="1" applyFill="1" applyAlignment="1">
      <alignment horizontal="left" vertical="center"/>
    </xf>
    <xf numFmtId="0" fontId="0" fillId="4" borderId="0" xfId="0" quotePrefix="1" applyFont="1" applyFill="1" applyAlignment="1">
      <alignment horizontal="left" vertical="top" wrapText="1"/>
    </xf>
    <xf numFmtId="0" fontId="44" fillId="4" borderId="0" xfId="23" applyFont="1" applyFill="1" applyBorder="1" applyAlignment="1">
      <alignment horizontal="left" vertical="center" wrapText="1"/>
    </xf>
    <xf numFmtId="0" fontId="44" fillId="4" borderId="0" xfId="23" applyFont="1" applyFill="1" applyBorder="1" applyAlignment="1">
      <alignment horizontal="left" vertical="center"/>
    </xf>
    <xf numFmtId="0" fontId="0" fillId="7" borderId="0" xfId="0" applyFill="1" applyBorder="1" applyAlignment="1">
      <alignment horizontal="left" vertical="center" wrapText="1"/>
    </xf>
    <xf numFmtId="0" fontId="6" fillId="7" borderId="0" xfId="0" applyFont="1" applyFill="1" applyBorder="1" applyAlignment="1">
      <alignment horizontal="left" vertical="center" wrapText="1"/>
    </xf>
    <xf numFmtId="0" fontId="0" fillId="7" borderId="0" xfId="0" applyFill="1" applyBorder="1" applyAlignment="1" applyProtection="1">
      <alignment horizontal="left" vertical="center" wrapText="1"/>
    </xf>
    <xf numFmtId="0" fontId="4" fillId="7"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46" fillId="4" borderId="0" xfId="0" applyFont="1" applyFill="1" applyBorder="1" applyAlignment="1">
      <alignment horizontal="left" vertical="center" wrapText="1"/>
    </xf>
    <xf numFmtId="0" fontId="43" fillId="8" borderId="0" xfId="19" applyFont="1" applyFill="1" applyBorder="1" applyAlignment="1">
      <alignment horizontal="left" vertical="center" wrapText="1"/>
    </xf>
    <xf numFmtId="0" fontId="46" fillId="4" borderId="11" xfId="23" applyFont="1" applyFill="1" applyBorder="1" applyAlignment="1">
      <alignment horizontal="left" vertical="center" wrapText="1"/>
    </xf>
    <xf numFmtId="0" fontId="46" fillId="4" borderId="0" xfId="23" applyFont="1" applyFill="1" applyBorder="1" applyAlignment="1">
      <alignment horizontal="left" vertical="center" wrapText="1"/>
    </xf>
    <xf numFmtId="0" fontId="46" fillId="4" borderId="12" xfId="23" applyFont="1" applyFill="1" applyBorder="1" applyAlignment="1">
      <alignment horizontal="left" vertical="center" wrapText="1"/>
    </xf>
    <xf numFmtId="0" fontId="39" fillId="4" borderId="0" xfId="0" applyFont="1" applyFill="1" applyBorder="1" applyAlignment="1">
      <alignment horizontal="left" vertical="center" wrapText="1"/>
    </xf>
    <xf numFmtId="0" fontId="0" fillId="7" borderId="0" xfId="0" applyFill="1" applyBorder="1" applyAlignment="1">
      <alignment horizontal="left" vertical="top" wrapText="1"/>
    </xf>
    <xf numFmtId="0" fontId="46" fillId="4" borderId="0" xfId="22" applyFont="1" applyFill="1" applyBorder="1" applyAlignment="1">
      <alignment horizontal="left" vertical="center" wrapText="1"/>
    </xf>
    <xf numFmtId="0" fontId="45" fillId="4" borderId="0" xfId="0" applyFont="1" applyFill="1" applyBorder="1" applyAlignment="1">
      <alignment horizontal="left" vertical="center" wrapText="1"/>
    </xf>
    <xf numFmtId="0" fontId="6" fillId="4" borderId="0" xfId="0" applyFont="1" applyFill="1" applyAlignment="1">
      <alignment horizontal="left" vertical="center" wrapText="1"/>
    </xf>
    <xf numFmtId="0" fontId="39" fillId="4" borderId="0" xfId="0" quotePrefix="1" applyFont="1" applyFill="1" applyBorder="1" applyAlignment="1">
      <alignment horizontal="left" vertical="center" wrapText="1"/>
    </xf>
    <xf numFmtId="0" fontId="45" fillId="4" borderId="13" xfId="0" applyFont="1" applyFill="1" applyBorder="1" applyAlignment="1">
      <alignment horizontal="left" vertical="center" wrapText="1"/>
    </xf>
    <xf numFmtId="0" fontId="45" fillId="4" borderId="16" xfId="0" applyFont="1" applyFill="1" applyBorder="1" applyAlignment="1">
      <alignment horizontal="left" vertical="center" wrapText="1"/>
    </xf>
    <xf numFmtId="0" fontId="45" fillId="4" borderId="14" xfId="0" applyFont="1" applyFill="1" applyBorder="1" applyAlignment="1">
      <alignment horizontal="left" vertical="center" wrapText="1"/>
    </xf>
    <xf numFmtId="0" fontId="57" fillId="7" borderId="0" xfId="0" applyFont="1" applyFill="1" applyBorder="1" applyAlignment="1">
      <alignment horizontal="left" vertical="center" wrapText="1"/>
    </xf>
    <xf numFmtId="0" fontId="19" fillId="11" borderId="0" xfId="0" applyFont="1" applyFill="1" applyBorder="1" applyAlignment="1">
      <alignment horizontal="center" vertical="center"/>
    </xf>
    <xf numFmtId="0" fontId="6" fillId="4" borderId="0" xfId="0" applyFont="1" applyFill="1" applyBorder="1" applyAlignment="1">
      <alignment horizontal="left" vertical="center"/>
    </xf>
    <xf numFmtId="0" fontId="0" fillId="7" borderId="11" xfId="0" applyFill="1" applyBorder="1" applyAlignment="1">
      <alignment horizontal="left" vertical="center" wrapText="1"/>
    </xf>
    <xf numFmtId="0" fontId="46" fillId="4" borderId="11" xfId="0" applyFont="1" applyFill="1" applyBorder="1" applyAlignment="1">
      <alignment horizontal="left" vertical="center"/>
    </xf>
    <xf numFmtId="0" fontId="46" fillId="4" borderId="0" xfId="0" applyFont="1" applyFill="1" applyBorder="1" applyAlignment="1">
      <alignment horizontal="left" vertical="center"/>
    </xf>
    <xf numFmtId="0" fontId="6" fillId="4" borderId="0" xfId="0" applyFont="1" applyFill="1" applyBorder="1" applyAlignment="1">
      <alignment horizontal="left" vertical="top"/>
    </xf>
    <xf numFmtId="0" fontId="0" fillId="7" borderId="0" xfId="0" applyFill="1" applyAlignment="1">
      <alignment horizontal="left" vertical="center" indent="1"/>
    </xf>
    <xf numFmtId="0" fontId="0" fillId="7" borderId="0" xfId="0" applyFill="1" applyBorder="1" applyAlignment="1">
      <alignment horizontal="left" vertical="center" wrapText="1" indent="1"/>
    </xf>
    <xf numFmtId="0" fontId="8" fillId="4" borderId="0" xfId="0" applyFont="1" applyFill="1" applyBorder="1" applyAlignment="1">
      <alignment horizontal="left" vertical="center" wrapText="1"/>
    </xf>
    <xf numFmtId="0" fontId="0" fillId="7" borderId="0" xfId="0" applyFill="1" applyAlignment="1">
      <alignment horizontal="left" vertical="center" wrapText="1"/>
    </xf>
  </cellXfs>
  <cellStyles count="25">
    <cellStyle name="Calculation" xfId="20"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2"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3" builtinId="8"/>
    <cellStyle name="Input" xfId="1" builtinId="20"/>
    <cellStyle name="Linked Cell" xfId="24" builtinId="24"/>
    <cellStyle name="Normal" xfId="0" builtinId="0"/>
    <cellStyle name="Normal 2" xfId="19"/>
    <cellStyle name="Normal 2 2" xfId="21"/>
    <cellStyle name="Output" xfId="2" builtinId="21"/>
  </cellStyles>
  <dxfs count="0"/>
  <tableStyles count="0" defaultTableStyle="TableStyleMedium2" defaultPivotStyle="PivotStyleLight16"/>
  <colors>
    <mruColors>
      <color rgb="FFFFFF00"/>
      <color rgb="FFEFB011"/>
      <color rgb="FFD89E0E"/>
      <color rgb="FF007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0</xdr:row>
      <xdr:rowOff>104775</xdr:rowOff>
    </xdr:from>
    <xdr:to>
      <xdr:col>15</xdr:col>
      <xdr:colOff>689072</xdr:colOff>
      <xdr:row>3</xdr:row>
      <xdr:rowOff>70023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67925" y="104775"/>
          <a:ext cx="2079722" cy="5367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1330325</xdr:colOff>
      <xdr:row>0</xdr:row>
      <xdr:rowOff>114300</xdr:rowOff>
    </xdr:from>
    <xdr:to>
      <xdr:col>8</xdr:col>
      <xdr:colOff>3410047</xdr:colOff>
      <xdr:row>3</xdr:row>
      <xdr:rowOff>66848</xdr:rowOff>
    </xdr:to>
    <xdr:pic>
      <xdr:nvPicPr>
        <xdr:cNvPr id="2" name="Picture 1"/>
        <xdr:cNvPicPr>
          <a:picLocks noChangeAspect="1"/>
        </xdr:cNvPicPr>
      </xdr:nvPicPr>
      <xdr:blipFill>
        <a:blip xmlns:r="http://schemas.openxmlformats.org/officeDocument/2006/relationships" r:embed="rId1"/>
        <a:stretch>
          <a:fillRect/>
        </a:stretch>
      </xdr:blipFill>
      <xdr:spPr>
        <a:xfrm>
          <a:off x="9864725" y="114300"/>
          <a:ext cx="2079722" cy="53357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1711325</xdr:colOff>
      <xdr:row>0</xdr:row>
      <xdr:rowOff>85725</xdr:rowOff>
    </xdr:from>
    <xdr:to>
      <xdr:col>8</xdr:col>
      <xdr:colOff>3791047</xdr:colOff>
      <xdr:row>3</xdr:row>
      <xdr:rowOff>38273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45725" y="85725"/>
          <a:ext cx="2079722" cy="53357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1749425</xdr:colOff>
      <xdr:row>0</xdr:row>
      <xdr:rowOff>123825</xdr:rowOff>
    </xdr:from>
    <xdr:to>
      <xdr:col>8</xdr:col>
      <xdr:colOff>3829147</xdr:colOff>
      <xdr:row>3</xdr:row>
      <xdr:rowOff>76373</xdr:rowOff>
    </xdr:to>
    <xdr:pic>
      <xdr:nvPicPr>
        <xdr:cNvPr id="2" name="Picture 1"/>
        <xdr:cNvPicPr>
          <a:picLocks noChangeAspect="1"/>
        </xdr:cNvPicPr>
      </xdr:nvPicPr>
      <xdr:blipFill>
        <a:blip xmlns:r="http://schemas.openxmlformats.org/officeDocument/2006/relationships" r:embed="rId1"/>
        <a:stretch>
          <a:fillRect/>
        </a:stretch>
      </xdr:blipFill>
      <xdr:spPr>
        <a:xfrm>
          <a:off x="9855200" y="123825"/>
          <a:ext cx="2079722" cy="53357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1739900</xdr:colOff>
      <xdr:row>0</xdr:row>
      <xdr:rowOff>104775</xdr:rowOff>
    </xdr:from>
    <xdr:to>
      <xdr:col>7</xdr:col>
      <xdr:colOff>3819622</xdr:colOff>
      <xdr:row>3</xdr:row>
      <xdr:rowOff>57323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26675" y="104775"/>
          <a:ext cx="2079722" cy="53357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1701800</xdr:colOff>
      <xdr:row>0</xdr:row>
      <xdr:rowOff>133350</xdr:rowOff>
    </xdr:from>
    <xdr:to>
      <xdr:col>8</xdr:col>
      <xdr:colOff>3781522</xdr:colOff>
      <xdr:row>3</xdr:row>
      <xdr:rowOff>85898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1379200" y="133350"/>
          <a:ext cx="2079722" cy="53357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3195108</xdr:colOff>
      <xdr:row>0</xdr:row>
      <xdr:rowOff>92075</xdr:rowOff>
    </xdr:from>
    <xdr:to>
      <xdr:col>7</xdr:col>
      <xdr:colOff>5274830</xdr:colOff>
      <xdr:row>3</xdr:row>
      <xdr:rowOff>47798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2824883" y="92075"/>
          <a:ext cx="2079722" cy="53674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1286823</xdr:colOff>
      <xdr:row>0</xdr:row>
      <xdr:rowOff>102659</xdr:rowOff>
    </xdr:from>
    <xdr:to>
      <xdr:col>7</xdr:col>
      <xdr:colOff>3366180</xdr:colOff>
      <xdr:row>3</xdr:row>
      <xdr:rowOff>58382</xdr:rowOff>
    </xdr:to>
    <xdr:pic>
      <xdr:nvPicPr>
        <xdr:cNvPr id="2" name="Picture 1"/>
        <xdr:cNvPicPr>
          <a:picLocks noChangeAspect="1"/>
        </xdr:cNvPicPr>
      </xdr:nvPicPr>
      <xdr:blipFill>
        <a:blip xmlns:r="http://schemas.openxmlformats.org/officeDocument/2006/relationships" r:embed="rId1"/>
        <a:stretch>
          <a:fillRect/>
        </a:stretch>
      </xdr:blipFill>
      <xdr:spPr>
        <a:xfrm>
          <a:off x="10538116" y="102659"/>
          <a:ext cx="2079357" cy="53598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2020358</xdr:colOff>
      <xdr:row>0</xdr:row>
      <xdr:rowOff>123825</xdr:rowOff>
    </xdr:from>
    <xdr:to>
      <xdr:col>8</xdr:col>
      <xdr:colOff>4100080</xdr:colOff>
      <xdr:row>3</xdr:row>
      <xdr:rowOff>79548</xdr:rowOff>
    </xdr:to>
    <xdr:pic>
      <xdr:nvPicPr>
        <xdr:cNvPr id="2" name="Picture 1"/>
        <xdr:cNvPicPr>
          <a:picLocks noChangeAspect="1"/>
        </xdr:cNvPicPr>
      </xdr:nvPicPr>
      <xdr:blipFill>
        <a:blip xmlns:r="http://schemas.openxmlformats.org/officeDocument/2006/relationships" r:embed="rId1"/>
        <a:stretch>
          <a:fillRect/>
        </a:stretch>
      </xdr:blipFill>
      <xdr:spPr>
        <a:xfrm>
          <a:off x="11503025" y="123825"/>
          <a:ext cx="2079722" cy="5272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314325</xdr:colOff>
      <xdr:row>0</xdr:row>
      <xdr:rowOff>123825</xdr:rowOff>
    </xdr:from>
    <xdr:to>
      <xdr:col>15</xdr:col>
      <xdr:colOff>774797</xdr:colOff>
      <xdr:row>3</xdr:row>
      <xdr:rowOff>89073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53650" y="123825"/>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1667934</xdr:colOff>
      <xdr:row>0</xdr:row>
      <xdr:rowOff>143933</xdr:rowOff>
    </xdr:from>
    <xdr:to>
      <xdr:col>8</xdr:col>
      <xdr:colOff>3747656</xdr:colOff>
      <xdr:row>3</xdr:row>
      <xdr:rowOff>99656</xdr:rowOff>
    </xdr:to>
    <xdr:pic>
      <xdr:nvPicPr>
        <xdr:cNvPr id="2" name="Picture 1"/>
        <xdr:cNvPicPr>
          <a:picLocks noChangeAspect="1"/>
        </xdr:cNvPicPr>
      </xdr:nvPicPr>
      <xdr:blipFill>
        <a:blip xmlns:r="http://schemas.openxmlformats.org/officeDocument/2006/relationships" r:embed="rId1"/>
        <a:stretch>
          <a:fillRect/>
        </a:stretch>
      </xdr:blipFill>
      <xdr:spPr>
        <a:xfrm>
          <a:off x="11964459" y="143933"/>
          <a:ext cx="2079722" cy="5272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1358900</xdr:colOff>
      <xdr:row>0</xdr:row>
      <xdr:rowOff>123825</xdr:rowOff>
    </xdr:from>
    <xdr:to>
      <xdr:col>8</xdr:col>
      <xdr:colOff>3438622</xdr:colOff>
      <xdr:row>3</xdr:row>
      <xdr:rowOff>76373</xdr:rowOff>
    </xdr:to>
    <xdr:pic>
      <xdr:nvPicPr>
        <xdr:cNvPr id="2" name="Picture 1"/>
        <xdr:cNvPicPr>
          <a:picLocks noChangeAspect="1"/>
        </xdr:cNvPicPr>
      </xdr:nvPicPr>
      <xdr:blipFill>
        <a:blip xmlns:r="http://schemas.openxmlformats.org/officeDocument/2006/relationships" r:embed="rId1"/>
        <a:stretch>
          <a:fillRect/>
        </a:stretch>
      </xdr:blipFill>
      <xdr:spPr>
        <a:xfrm>
          <a:off x="9893300" y="123825"/>
          <a:ext cx="2079722" cy="5335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1358900</xdr:colOff>
      <xdr:row>0</xdr:row>
      <xdr:rowOff>133350</xdr:rowOff>
    </xdr:from>
    <xdr:to>
      <xdr:col>8</xdr:col>
      <xdr:colOff>3438622</xdr:colOff>
      <xdr:row>3</xdr:row>
      <xdr:rowOff>85898</xdr:rowOff>
    </xdr:to>
    <xdr:pic>
      <xdr:nvPicPr>
        <xdr:cNvPr id="2" name="Picture 1"/>
        <xdr:cNvPicPr>
          <a:picLocks noChangeAspect="1"/>
        </xdr:cNvPicPr>
      </xdr:nvPicPr>
      <xdr:blipFill>
        <a:blip xmlns:r="http://schemas.openxmlformats.org/officeDocument/2006/relationships" r:embed="rId1"/>
        <a:stretch>
          <a:fillRect/>
        </a:stretch>
      </xdr:blipFill>
      <xdr:spPr>
        <a:xfrm>
          <a:off x="9893300" y="133350"/>
          <a:ext cx="2079722" cy="5335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1701800</xdr:colOff>
      <xdr:row>1</xdr:row>
      <xdr:rowOff>0</xdr:rowOff>
    </xdr:from>
    <xdr:to>
      <xdr:col>8</xdr:col>
      <xdr:colOff>3781522</xdr:colOff>
      <xdr:row>3</xdr:row>
      <xdr:rowOff>114473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36200" y="161925"/>
          <a:ext cx="2079722" cy="5335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1330325</xdr:colOff>
      <xdr:row>0</xdr:row>
      <xdr:rowOff>114300</xdr:rowOff>
    </xdr:from>
    <xdr:to>
      <xdr:col>8</xdr:col>
      <xdr:colOff>3410047</xdr:colOff>
      <xdr:row>3</xdr:row>
      <xdr:rowOff>66848</xdr:rowOff>
    </xdr:to>
    <xdr:pic>
      <xdr:nvPicPr>
        <xdr:cNvPr id="2" name="Picture 1"/>
        <xdr:cNvPicPr>
          <a:picLocks noChangeAspect="1"/>
        </xdr:cNvPicPr>
      </xdr:nvPicPr>
      <xdr:blipFill>
        <a:blip xmlns:r="http://schemas.openxmlformats.org/officeDocument/2006/relationships" r:embed="rId1"/>
        <a:stretch>
          <a:fillRect/>
        </a:stretch>
      </xdr:blipFill>
      <xdr:spPr>
        <a:xfrm>
          <a:off x="9864725" y="114300"/>
          <a:ext cx="2079722" cy="5335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1978025</xdr:colOff>
      <xdr:row>0</xdr:row>
      <xdr:rowOff>95250</xdr:rowOff>
    </xdr:from>
    <xdr:to>
      <xdr:col>8</xdr:col>
      <xdr:colOff>4057747</xdr:colOff>
      <xdr:row>3</xdr:row>
      <xdr:rowOff>47798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74425" y="95250"/>
          <a:ext cx="2079722" cy="5335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1330325</xdr:colOff>
      <xdr:row>0</xdr:row>
      <xdr:rowOff>114300</xdr:rowOff>
    </xdr:from>
    <xdr:to>
      <xdr:col>8</xdr:col>
      <xdr:colOff>3410047</xdr:colOff>
      <xdr:row>3</xdr:row>
      <xdr:rowOff>66848</xdr:rowOff>
    </xdr:to>
    <xdr:pic>
      <xdr:nvPicPr>
        <xdr:cNvPr id="2" name="Picture 1"/>
        <xdr:cNvPicPr>
          <a:picLocks noChangeAspect="1"/>
        </xdr:cNvPicPr>
      </xdr:nvPicPr>
      <xdr:blipFill>
        <a:blip xmlns:r="http://schemas.openxmlformats.org/officeDocument/2006/relationships" r:embed="rId1"/>
        <a:stretch>
          <a:fillRect/>
        </a:stretch>
      </xdr:blipFill>
      <xdr:spPr>
        <a:xfrm>
          <a:off x="9864725" y="114300"/>
          <a:ext cx="2079722" cy="5335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zoomScale="95" zoomScaleNormal="95" workbookViewId="0">
      <selection activeCell="F13" sqref="F13"/>
    </sheetView>
  </sheetViews>
  <sheetFormatPr defaultColWidth="9" defaultRowHeight="12.75" x14ac:dyDescent="0.2"/>
  <cols>
    <col min="1" max="1" width="1.625" style="1" customWidth="1"/>
    <col min="2" max="2" width="10.625" style="1" customWidth="1"/>
    <col min="3" max="3" width="13" style="1" customWidth="1"/>
    <col min="4" max="20" width="10.625" style="1" customWidth="1"/>
    <col min="21" max="16384" width="9" style="1"/>
  </cols>
  <sheetData>
    <row r="1" spans="1:19" x14ac:dyDescent="0.2">
      <c r="A1" s="2"/>
      <c r="B1" s="2"/>
      <c r="C1" s="2"/>
      <c r="D1" s="2"/>
      <c r="E1" s="2"/>
      <c r="F1" s="2"/>
      <c r="G1" s="2"/>
      <c r="H1" s="2"/>
      <c r="I1" s="3"/>
      <c r="J1" s="2"/>
      <c r="K1" s="2"/>
      <c r="L1" s="2"/>
      <c r="M1" s="2"/>
      <c r="N1" s="2"/>
      <c r="O1" s="2"/>
      <c r="P1" s="2"/>
      <c r="Q1" s="2"/>
      <c r="R1" s="2"/>
    </row>
    <row r="2" spans="1:19" ht="19.5" x14ac:dyDescent="0.25">
      <c r="A2" s="2"/>
      <c r="B2" s="356" t="s">
        <v>35</v>
      </c>
      <c r="C2" s="356"/>
      <c r="D2" s="356"/>
      <c r="E2" s="356"/>
      <c r="F2" s="356"/>
      <c r="G2" s="356"/>
      <c r="H2" s="356"/>
      <c r="I2" s="356"/>
      <c r="J2" s="356"/>
      <c r="K2" s="356"/>
      <c r="L2" s="356"/>
      <c r="M2" s="356"/>
      <c r="N2" s="356"/>
      <c r="O2" s="356"/>
      <c r="P2" s="356"/>
      <c r="Q2" s="2"/>
      <c r="R2" s="2"/>
    </row>
    <row r="3" spans="1:19" s="35" customFormat="1" x14ac:dyDescent="0.2">
      <c r="A3" s="36"/>
      <c r="B3" s="36"/>
      <c r="C3" s="36"/>
      <c r="D3" s="36"/>
      <c r="E3" s="36"/>
      <c r="F3" s="36"/>
      <c r="G3" s="36"/>
      <c r="H3" s="36"/>
      <c r="I3" s="43"/>
      <c r="J3" s="36"/>
      <c r="K3" s="36"/>
      <c r="L3" s="36"/>
      <c r="M3" s="36"/>
      <c r="N3" s="36"/>
      <c r="O3" s="36"/>
      <c r="P3" s="36"/>
      <c r="Q3" s="36"/>
      <c r="R3" s="36"/>
    </row>
    <row r="4" spans="1:19" s="35" customFormat="1" x14ac:dyDescent="0.2">
      <c r="A4" s="36"/>
      <c r="B4" s="36"/>
      <c r="C4" s="36"/>
      <c r="D4" s="36"/>
      <c r="E4" s="36"/>
      <c r="F4" s="36"/>
      <c r="G4" s="36"/>
      <c r="H4" s="36"/>
      <c r="I4" s="43"/>
      <c r="J4" s="36"/>
      <c r="K4" s="36"/>
      <c r="L4" s="36"/>
      <c r="M4" s="36"/>
      <c r="N4" s="36"/>
      <c r="O4" s="36"/>
      <c r="P4" s="36"/>
      <c r="Q4" s="36"/>
      <c r="R4" s="36"/>
    </row>
    <row r="5" spans="1:19" ht="96" customHeight="1" x14ac:dyDescent="0.2">
      <c r="B5" s="357" t="s">
        <v>652</v>
      </c>
      <c r="C5" s="357"/>
      <c r="D5" s="357"/>
      <c r="E5" s="357"/>
      <c r="F5" s="357"/>
      <c r="G5" s="357"/>
      <c r="H5" s="357"/>
      <c r="I5" s="357"/>
      <c r="J5" s="357"/>
      <c r="K5" s="357"/>
      <c r="L5" s="357"/>
      <c r="M5" s="357"/>
      <c r="N5" s="357"/>
      <c r="O5" s="357"/>
      <c r="P5" s="357"/>
      <c r="Q5" s="154"/>
      <c r="R5" s="154"/>
      <c r="S5" s="154"/>
    </row>
    <row r="6" spans="1:19" s="35" customFormat="1" x14ac:dyDescent="0.2">
      <c r="A6" s="36"/>
      <c r="B6" s="36"/>
      <c r="C6" s="36"/>
      <c r="D6" s="36"/>
      <c r="E6" s="36"/>
      <c r="F6" s="36"/>
      <c r="G6" s="36"/>
      <c r="H6" s="36"/>
      <c r="I6" s="43"/>
      <c r="J6" s="36"/>
      <c r="K6" s="36"/>
      <c r="L6" s="36"/>
      <c r="M6" s="36"/>
      <c r="N6" s="36"/>
      <c r="O6" s="36"/>
      <c r="P6" s="36"/>
      <c r="Q6" s="36"/>
      <c r="R6" s="36"/>
    </row>
    <row r="7" spans="1:19" s="35" customFormat="1" x14ac:dyDescent="0.2">
      <c r="A7" s="36"/>
      <c r="B7" s="36"/>
      <c r="C7" s="36"/>
      <c r="D7" s="36"/>
      <c r="E7" s="36"/>
      <c r="F7" s="36"/>
      <c r="G7" s="36"/>
      <c r="H7" s="36"/>
      <c r="I7" s="43"/>
      <c r="J7" s="36"/>
      <c r="K7" s="36"/>
      <c r="L7" s="36"/>
      <c r="M7" s="36"/>
      <c r="N7" s="36"/>
      <c r="O7" s="36"/>
      <c r="P7" s="36"/>
      <c r="Q7" s="36"/>
      <c r="R7" s="36"/>
    </row>
    <row r="8" spans="1:19" ht="14.25" x14ac:dyDescent="0.2">
      <c r="B8" s="49" t="s">
        <v>94</v>
      </c>
      <c r="C8" s="50"/>
      <c r="D8" s="48"/>
      <c r="E8" s="48"/>
      <c r="F8" s="48"/>
      <c r="G8" s="48"/>
      <c r="H8" s="48"/>
      <c r="I8" s="48"/>
      <c r="J8" s="48"/>
      <c r="K8" s="48"/>
      <c r="L8" s="48"/>
      <c r="M8" s="48"/>
      <c r="N8" s="48"/>
      <c r="O8" s="48"/>
      <c r="P8" s="48"/>
      <c r="Q8" s="48"/>
      <c r="R8" s="48"/>
      <c r="S8" s="48"/>
    </row>
    <row r="9" spans="1:19" ht="14.25" x14ac:dyDescent="0.2">
      <c r="B9" s="51" t="s">
        <v>36</v>
      </c>
      <c r="C9" s="50"/>
      <c r="D9" s="48"/>
      <c r="E9" s="48"/>
      <c r="F9" s="48"/>
      <c r="G9" s="48"/>
      <c r="H9" s="48"/>
      <c r="I9" s="48"/>
      <c r="J9" s="48"/>
      <c r="K9" s="48"/>
      <c r="L9" s="48"/>
      <c r="M9" s="48"/>
      <c r="N9" s="48"/>
      <c r="O9" s="48"/>
      <c r="P9" s="48"/>
      <c r="Q9" s="48"/>
      <c r="R9" s="48"/>
      <c r="S9" s="48"/>
    </row>
    <row r="10" spans="1:19" ht="14.25" x14ac:dyDescent="0.2">
      <c r="B10" s="53" t="s">
        <v>9</v>
      </c>
      <c r="C10" s="48"/>
      <c r="D10" s="48"/>
      <c r="E10" s="48"/>
      <c r="F10" s="48"/>
      <c r="G10" s="48"/>
      <c r="H10" s="48"/>
      <c r="I10" s="48"/>
      <c r="J10" s="48"/>
      <c r="K10" s="48"/>
      <c r="L10" s="48"/>
      <c r="M10" s="48"/>
      <c r="N10" s="48"/>
      <c r="O10" s="48"/>
      <c r="P10" s="48"/>
      <c r="Q10" s="48"/>
      <c r="R10" s="48"/>
      <c r="S10" s="48"/>
    </row>
    <row r="11" spans="1:19" s="35" customFormat="1" x14ac:dyDescent="0.2">
      <c r="A11" s="36"/>
      <c r="B11" s="36"/>
      <c r="C11" s="36"/>
      <c r="D11" s="36"/>
      <c r="E11" s="36"/>
      <c r="F11" s="36"/>
      <c r="G11" s="36"/>
      <c r="H11" s="36"/>
      <c r="I11" s="43"/>
      <c r="J11" s="36"/>
      <c r="K11" s="36"/>
      <c r="L11" s="36"/>
      <c r="M11" s="36"/>
      <c r="N11" s="36"/>
      <c r="O11" s="36"/>
      <c r="P11" s="36"/>
      <c r="Q11" s="36"/>
      <c r="R11" s="36"/>
    </row>
    <row r="12" spans="1:19" s="35" customFormat="1" x14ac:dyDescent="0.2">
      <c r="A12" s="36"/>
      <c r="B12" s="36"/>
      <c r="C12" s="36"/>
      <c r="D12" s="36"/>
      <c r="E12" s="36"/>
      <c r="F12" s="36"/>
      <c r="G12" s="36"/>
      <c r="H12" s="36"/>
      <c r="I12" s="43"/>
      <c r="J12" s="36"/>
      <c r="K12" s="36"/>
      <c r="L12" s="36"/>
      <c r="M12" s="36"/>
      <c r="N12" s="36"/>
      <c r="O12" s="36"/>
      <c r="P12" s="36"/>
      <c r="Q12" s="36"/>
      <c r="R12" s="36"/>
    </row>
    <row r="13" spans="1:19" ht="14.25" x14ac:dyDescent="0.2">
      <c r="B13" s="52" t="s">
        <v>17</v>
      </c>
      <c r="C13" s="48"/>
      <c r="D13" s="48"/>
      <c r="E13" s="48"/>
      <c r="F13" s="48"/>
      <c r="G13" s="48"/>
      <c r="H13" s="48"/>
      <c r="I13" s="48"/>
      <c r="J13" s="48"/>
      <c r="K13" s="48"/>
      <c r="L13" s="48"/>
      <c r="M13" s="48"/>
      <c r="N13" s="48"/>
      <c r="O13" s="48"/>
      <c r="P13" s="48"/>
      <c r="Q13" s="48"/>
      <c r="R13" s="48"/>
      <c r="S13" s="48"/>
    </row>
    <row r="14" spans="1:19" s="35" customFormat="1" x14ac:dyDescent="0.2">
      <c r="A14" s="36"/>
      <c r="B14" s="36"/>
      <c r="C14" s="36"/>
      <c r="D14" s="36"/>
      <c r="E14" s="36"/>
      <c r="F14" s="36"/>
      <c r="G14" s="36"/>
      <c r="H14" s="36"/>
      <c r="I14" s="43"/>
      <c r="J14" s="36"/>
      <c r="K14" s="36"/>
      <c r="L14" s="36"/>
      <c r="M14" s="36"/>
      <c r="N14" s="36"/>
      <c r="O14" s="36"/>
      <c r="P14" s="36"/>
      <c r="Q14" s="36"/>
      <c r="R14" s="36"/>
    </row>
    <row r="15" spans="1:19" ht="14.25" x14ac:dyDescent="0.2">
      <c r="B15" s="318" t="s">
        <v>18</v>
      </c>
      <c r="C15" s="319">
        <v>43054</v>
      </c>
      <c r="D15" s="48"/>
      <c r="E15" s="48"/>
      <c r="F15" s="48"/>
      <c r="G15" s="48"/>
      <c r="H15" s="48"/>
      <c r="I15" s="48"/>
      <c r="J15" s="48"/>
      <c r="K15" s="48"/>
      <c r="L15" s="48"/>
      <c r="M15" s="48"/>
      <c r="N15" s="48"/>
      <c r="O15" s="48"/>
      <c r="P15" s="48"/>
      <c r="Q15" s="48"/>
      <c r="R15" s="48"/>
      <c r="S15" s="48"/>
    </row>
    <row r="16" spans="1:19" ht="14.25" x14ac:dyDescent="0.2">
      <c r="B16" s="318" t="s">
        <v>890</v>
      </c>
      <c r="C16" s="319">
        <v>43062</v>
      </c>
      <c r="D16" s="48"/>
      <c r="E16" s="358" t="s">
        <v>891</v>
      </c>
      <c r="F16" s="358"/>
      <c r="G16" s="358"/>
      <c r="H16" s="358"/>
      <c r="I16" s="358"/>
      <c r="J16" s="358"/>
      <c r="K16" s="358"/>
      <c r="L16" s="358"/>
      <c r="M16" s="358"/>
      <c r="N16" s="358"/>
      <c r="O16" s="358"/>
      <c r="P16" s="358"/>
    </row>
    <row r="17" spans="2:16" ht="14.25" x14ac:dyDescent="0.2">
      <c r="B17" s="318" t="s">
        <v>893</v>
      </c>
      <c r="C17" s="320">
        <v>43865</v>
      </c>
      <c r="D17" s="27"/>
      <c r="E17" s="355" t="s">
        <v>989</v>
      </c>
      <c r="F17" s="355"/>
      <c r="G17" s="355"/>
      <c r="H17" s="355"/>
      <c r="I17" s="355"/>
      <c r="J17" s="355"/>
      <c r="K17" s="355"/>
      <c r="L17" s="355"/>
      <c r="M17" s="355"/>
      <c r="N17" s="355"/>
      <c r="O17" s="355"/>
      <c r="P17" s="355"/>
    </row>
    <row r="18" spans="2:16" ht="25.15" customHeight="1" x14ac:dyDescent="0.2">
      <c r="B18" s="318"/>
      <c r="C18" s="320"/>
      <c r="D18" s="27"/>
      <c r="E18" s="359" t="s">
        <v>934</v>
      </c>
      <c r="F18" s="359"/>
      <c r="G18" s="359"/>
      <c r="H18" s="359"/>
      <c r="I18" s="359"/>
      <c r="J18" s="359"/>
      <c r="K18" s="359"/>
      <c r="L18" s="359"/>
      <c r="M18" s="359"/>
      <c r="N18" s="359"/>
      <c r="O18" s="359"/>
      <c r="P18" s="359"/>
    </row>
    <row r="19" spans="2:16" ht="5.0999999999999996" customHeight="1" x14ac:dyDescent="0.2">
      <c r="B19" s="318"/>
      <c r="C19" s="320"/>
      <c r="D19" s="27"/>
      <c r="E19" s="340"/>
      <c r="F19" s="340"/>
      <c r="G19" s="340"/>
      <c r="H19" s="340"/>
      <c r="I19" s="340"/>
      <c r="J19" s="340"/>
      <c r="K19" s="340"/>
      <c r="L19" s="340"/>
      <c r="M19" s="340"/>
      <c r="N19" s="340"/>
      <c r="O19" s="340"/>
      <c r="P19" s="340"/>
    </row>
    <row r="20" spans="2:16" ht="14.25" x14ac:dyDescent="0.2">
      <c r="B20" s="318"/>
      <c r="C20" s="320"/>
      <c r="D20" s="27"/>
      <c r="E20" s="355" t="s">
        <v>990</v>
      </c>
      <c r="F20" s="355"/>
      <c r="G20" s="355"/>
      <c r="H20" s="355"/>
      <c r="I20" s="355"/>
      <c r="J20" s="355"/>
      <c r="K20" s="355"/>
      <c r="L20" s="355"/>
      <c r="M20" s="355"/>
      <c r="N20" s="355"/>
      <c r="O20" s="355"/>
      <c r="P20" s="355"/>
    </row>
    <row r="21" spans="2:16" ht="14.25" x14ac:dyDescent="0.2">
      <c r="B21" s="318"/>
      <c r="C21" s="320"/>
      <c r="D21" s="27"/>
      <c r="E21" s="340" t="s">
        <v>949</v>
      </c>
      <c r="F21" s="340"/>
      <c r="G21" s="340"/>
      <c r="H21" s="340"/>
      <c r="I21" s="340"/>
      <c r="J21" s="340"/>
      <c r="K21" s="340"/>
      <c r="L21" s="340"/>
      <c r="M21" s="340"/>
      <c r="N21" s="340"/>
      <c r="O21" s="340"/>
      <c r="P21" s="340"/>
    </row>
    <row r="22" spans="2:16" ht="5.0999999999999996" customHeight="1" x14ac:dyDescent="0.2">
      <c r="B22" s="318"/>
      <c r="C22" s="320"/>
      <c r="D22" s="27"/>
      <c r="E22" s="340"/>
      <c r="F22" s="340"/>
      <c r="G22" s="340"/>
      <c r="H22" s="340"/>
      <c r="I22" s="340"/>
      <c r="J22" s="340"/>
      <c r="K22" s="340"/>
      <c r="L22" s="340"/>
      <c r="M22" s="340"/>
      <c r="N22" s="340"/>
      <c r="O22" s="340"/>
      <c r="P22" s="340"/>
    </row>
    <row r="23" spans="2:16" ht="14.25" x14ac:dyDescent="0.2">
      <c r="C23" s="26"/>
      <c r="E23" s="355" t="s">
        <v>991</v>
      </c>
      <c r="F23" s="355"/>
      <c r="G23" s="355"/>
      <c r="H23" s="355"/>
      <c r="I23" s="355"/>
      <c r="J23" s="355"/>
      <c r="K23" s="355"/>
      <c r="L23" s="355"/>
      <c r="M23" s="355"/>
      <c r="N23" s="355"/>
      <c r="O23" s="355"/>
      <c r="P23" s="355"/>
    </row>
    <row r="24" spans="2:16" x14ac:dyDescent="0.2">
      <c r="C24" s="26"/>
      <c r="D24" s="27"/>
      <c r="E24" s="340" t="s">
        <v>983</v>
      </c>
    </row>
    <row r="25" spans="2:16" x14ac:dyDescent="0.2">
      <c r="E25" s="340" t="s">
        <v>984</v>
      </c>
    </row>
    <row r="26" spans="2:16" ht="5.0999999999999996" customHeight="1" x14ac:dyDescent="0.2">
      <c r="C26" s="26"/>
      <c r="E26" s="317"/>
    </row>
    <row r="27" spans="2:16" ht="14.25" x14ac:dyDescent="0.2">
      <c r="C27" s="26"/>
      <c r="E27" s="355" t="s">
        <v>992</v>
      </c>
      <c r="F27" s="355"/>
      <c r="G27" s="355"/>
      <c r="H27" s="355"/>
      <c r="I27" s="355"/>
      <c r="J27" s="355"/>
      <c r="K27" s="355"/>
      <c r="L27" s="355"/>
      <c r="M27" s="355"/>
      <c r="N27" s="355"/>
      <c r="O27" s="355"/>
      <c r="P27" s="355"/>
    </row>
    <row r="28" spans="2:16" x14ac:dyDescent="0.2">
      <c r="E28" s="1" t="s">
        <v>986</v>
      </c>
    </row>
    <row r="29" spans="2:16" ht="5.0999999999999996" customHeight="1" x14ac:dyDescent="0.2"/>
    <row r="30" spans="2:16" ht="14.25" x14ac:dyDescent="0.2">
      <c r="E30" s="355" t="s">
        <v>993</v>
      </c>
      <c r="F30" s="355"/>
      <c r="G30" s="355"/>
      <c r="H30" s="355"/>
      <c r="I30" s="355"/>
      <c r="J30" s="355"/>
      <c r="K30" s="355"/>
      <c r="L30" s="355"/>
      <c r="M30" s="355"/>
      <c r="N30" s="355"/>
      <c r="O30" s="355"/>
      <c r="P30" s="355"/>
    </row>
    <row r="31" spans="2:16" x14ac:dyDescent="0.2">
      <c r="E31" s="1" t="s">
        <v>985</v>
      </c>
    </row>
    <row r="32" spans="2:16" ht="5.0999999999999996" customHeight="1" x14ac:dyDescent="0.2"/>
    <row r="33" spans="5:16" ht="14.25" x14ac:dyDescent="0.2">
      <c r="E33" s="355" t="s">
        <v>994</v>
      </c>
      <c r="F33" s="355"/>
      <c r="G33" s="355"/>
      <c r="H33" s="355"/>
      <c r="I33" s="355"/>
      <c r="J33" s="355"/>
      <c r="K33" s="355"/>
      <c r="L33" s="355"/>
      <c r="M33" s="355"/>
      <c r="N33" s="355"/>
      <c r="O33" s="355"/>
      <c r="P33" s="355"/>
    </row>
    <row r="34" spans="5:16" x14ac:dyDescent="0.2">
      <c r="E34" s="1" t="s">
        <v>973</v>
      </c>
    </row>
    <row r="35" spans="5:16" x14ac:dyDescent="0.2">
      <c r="E35" s="1" t="s">
        <v>974</v>
      </c>
    </row>
    <row r="36" spans="5:16" ht="5.0999999999999996" customHeight="1" x14ac:dyDescent="0.2"/>
    <row r="37" spans="5:16" ht="14.25" x14ac:dyDescent="0.2">
      <c r="E37" s="355" t="s">
        <v>995</v>
      </c>
      <c r="F37" s="355"/>
      <c r="G37" s="355"/>
      <c r="H37" s="355"/>
      <c r="I37" s="355"/>
      <c r="J37" s="355"/>
      <c r="K37" s="355"/>
      <c r="L37" s="355"/>
      <c r="M37" s="355"/>
      <c r="N37" s="355"/>
      <c r="O37" s="355"/>
      <c r="P37" s="355"/>
    </row>
    <row r="38" spans="5:16" x14ac:dyDescent="0.2">
      <c r="E38" s="1" t="s">
        <v>987</v>
      </c>
    </row>
    <row r="39" spans="5:16" x14ac:dyDescent="0.2">
      <c r="E39" s="1" t="s">
        <v>988</v>
      </c>
    </row>
  </sheetData>
  <sheetProtection formatCells="0" formatColumns="0" formatRows="0"/>
  <mergeCells count="11">
    <mergeCell ref="E37:P37"/>
    <mergeCell ref="E33:P33"/>
    <mergeCell ref="E30:P30"/>
    <mergeCell ref="E27:P27"/>
    <mergeCell ref="B2:P2"/>
    <mergeCell ref="B5:P5"/>
    <mergeCell ref="E16:P16"/>
    <mergeCell ref="E23:P23"/>
    <mergeCell ref="E17:P17"/>
    <mergeCell ref="E18:P18"/>
    <mergeCell ref="E20:P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7"/>
  <sheetViews>
    <sheetView zoomScale="93" zoomScaleNormal="93" workbookViewId="0"/>
  </sheetViews>
  <sheetFormatPr defaultColWidth="8.75" defaultRowHeight="12.75" x14ac:dyDescent="0.2"/>
  <cols>
    <col min="1" max="1" width="1.625" style="8" customWidth="1"/>
    <col min="2" max="2" width="35.625" style="11" customWidth="1"/>
    <col min="3" max="3" width="25.625" style="11" customWidth="1"/>
    <col min="4" max="4" width="1.625" style="11" customWidth="1"/>
    <col min="5" max="5" width="20.625" style="91" customWidth="1"/>
    <col min="6" max="6" width="15.625" style="11" customWidth="1"/>
    <col min="7" max="8" width="10.625" style="11" customWidth="1"/>
    <col min="9" max="9" width="55.625" style="11" customWidth="1"/>
    <col min="10" max="11" width="15.625" style="8" customWidth="1"/>
    <col min="12" max="60" width="8.75" style="8"/>
    <col min="61" max="16384" width="8.75" style="11"/>
  </cols>
  <sheetData>
    <row r="1" spans="1:65" x14ac:dyDescent="0.2">
      <c r="A1" s="10"/>
      <c r="B1" s="10"/>
      <c r="C1" s="10"/>
      <c r="D1" s="10"/>
      <c r="E1" s="61"/>
      <c r="F1" s="10"/>
      <c r="G1" s="10"/>
      <c r="H1" s="10"/>
      <c r="I1" s="10"/>
      <c r="J1" s="10"/>
      <c r="K1" s="10"/>
      <c r="L1" s="10"/>
    </row>
    <row r="2" spans="1:65" ht="20.25" x14ac:dyDescent="0.2">
      <c r="A2" s="10"/>
      <c r="B2" s="64" t="s">
        <v>35</v>
      </c>
      <c r="C2" s="65"/>
      <c r="D2" s="65"/>
      <c r="E2" s="66"/>
      <c r="F2" s="10"/>
      <c r="G2" s="10"/>
      <c r="H2" s="10"/>
      <c r="I2" s="10"/>
      <c r="J2" s="10"/>
      <c r="K2" s="10"/>
      <c r="L2" s="10"/>
    </row>
    <row r="3" spans="1:65" x14ac:dyDescent="0.2">
      <c r="A3" s="10"/>
      <c r="B3" s="67"/>
      <c r="C3" s="67"/>
      <c r="D3" s="67"/>
      <c r="E3" s="68"/>
      <c r="F3" s="10"/>
      <c r="G3" s="10"/>
      <c r="H3" s="10"/>
      <c r="I3" s="10"/>
      <c r="J3" s="10"/>
      <c r="K3" s="10"/>
      <c r="L3" s="10"/>
    </row>
    <row r="4" spans="1:65" ht="15" x14ac:dyDescent="0.2">
      <c r="A4" s="10"/>
      <c r="B4" s="69"/>
      <c r="C4" s="69"/>
      <c r="D4" s="69"/>
      <c r="E4" s="70"/>
      <c r="F4" s="10"/>
      <c r="G4" s="10"/>
      <c r="H4" s="10"/>
      <c r="I4" s="10"/>
      <c r="J4" s="10"/>
      <c r="K4" s="10"/>
      <c r="L4" s="10"/>
    </row>
    <row r="5" spans="1:65" ht="40.5" customHeight="1" x14ac:dyDescent="0.2">
      <c r="A5" s="10"/>
      <c r="B5" s="368" t="s">
        <v>739</v>
      </c>
      <c r="C5" s="368"/>
      <c r="D5" s="368"/>
      <c r="E5" s="368"/>
      <c r="F5" s="368"/>
      <c r="G5" s="368"/>
      <c r="H5" s="368"/>
      <c r="I5" s="368"/>
      <c r="J5" s="10"/>
      <c r="K5" s="10"/>
      <c r="L5" s="10"/>
    </row>
    <row r="6" spans="1:65" s="75" customFormat="1" x14ac:dyDescent="0.2">
      <c r="A6" s="73"/>
      <c r="B6" s="33"/>
      <c r="C6" s="33"/>
      <c r="D6" s="33"/>
      <c r="E6" s="40"/>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5" s="75" customFormat="1" ht="14.25" x14ac:dyDescent="0.2">
      <c r="A7" s="73"/>
      <c r="B7" s="56" t="s">
        <v>493</v>
      </c>
      <c r="C7" s="57"/>
      <c r="D7" s="57"/>
      <c r="E7" s="58"/>
      <c r="F7" s="76"/>
      <c r="G7" s="76"/>
      <c r="H7" s="76"/>
      <c r="I7" s="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5" s="8" customFormat="1" ht="33.75" customHeight="1" x14ac:dyDescent="0.2">
      <c r="B8" s="372" t="s">
        <v>301</v>
      </c>
      <c r="C8" s="372"/>
      <c r="D8" s="372"/>
      <c r="E8" s="372"/>
      <c r="F8" s="372"/>
      <c r="G8" s="372"/>
      <c r="H8" s="372"/>
      <c r="I8" s="372"/>
      <c r="J8" s="42"/>
      <c r="K8" s="42"/>
      <c r="L8" s="42"/>
    </row>
    <row r="9" spans="1:65" s="79" customFormat="1" x14ac:dyDescent="0.2">
      <c r="B9" s="73"/>
      <c r="C9" s="109"/>
      <c r="G9" s="89"/>
      <c r="H9" s="74"/>
      <c r="I9" s="108"/>
    </row>
    <row r="10" spans="1:65" ht="15" x14ac:dyDescent="0.2">
      <c r="A10" s="10"/>
      <c r="B10" s="201" t="s">
        <v>629</v>
      </c>
      <c r="C10" s="80"/>
      <c r="D10" s="81"/>
      <c r="E10" s="81"/>
      <c r="F10" s="10"/>
      <c r="G10" s="10"/>
      <c r="H10" s="10"/>
      <c r="I10" s="10"/>
      <c r="J10" s="10"/>
      <c r="K10" s="10"/>
      <c r="BH10" s="11"/>
    </row>
    <row r="11" spans="1:65" ht="15" x14ac:dyDescent="0.2">
      <c r="A11" s="10"/>
      <c r="B11" s="73"/>
      <c r="C11" s="18"/>
      <c r="D11" s="31"/>
      <c r="E11" s="31"/>
      <c r="F11" s="31"/>
      <c r="G11" s="31"/>
      <c r="H11" s="31"/>
      <c r="I11" s="31"/>
      <c r="J11" s="10"/>
      <c r="K11" s="10"/>
      <c r="L11" s="10"/>
      <c r="M11" s="10"/>
      <c r="BI11" s="8"/>
    </row>
    <row r="12" spans="1:65" x14ac:dyDescent="0.2">
      <c r="A12" s="10"/>
      <c r="B12" s="82" t="s">
        <v>19</v>
      </c>
      <c r="C12" s="82"/>
      <c r="D12" s="82"/>
      <c r="E12" s="77"/>
      <c r="F12" s="77"/>
      <c r="G12" s="77"/>
      <c r="H12" s="77"/>
      <c r="I12" s="83"/>
      <c r="AS12" s="11"/>
      <c r="AT12" s="11"/>
      <c r="AU12" s="11"/>
      <c r="AV12" s="11"/>
      <c r="AW12" s="11"/>
      <c r="AX12" s="11"/>
      <c r="AY12" s="11"/>
      <c r="AZ12" s="11"/>
      <c r="BA12" s="11"/>
      <c r="BB12" s="11"/>
      <c r="BC12" s="11"/>
      <c r="BD12" s="11"/>
      <c r="BE12" s="11"/>
      <c r="BF12" s="11"/>
      <c r="BG12" s="11"/>
      <c r="BH12" s="11"/>
    </row>
    <row r="13" spans="1:65" ht="14.25" x14ac:dyDescent="0.2">
      <c r="A13" s="10"/>
      <c r="B13" s="383" t="s">
        <v>783</v>
      </c>
      <c r="C13" s="383"/>
      <c r="D13" s="383"/>
      <c r="E13" s="383"/>
      <c r="F13" s="383"/>
      <c r="G13" s="383"/>
      <c r="H13" s="383"/>
      <c r="I13" s="383"/>
      <c r="AS13" s="11"/>
      <c r="AT13" s="11"/>
      <c r="AU13" s="11"/>
      <c r="AV13" s="11"/>
      <c r="AW13" s="11"/>
      <c r="AX13" s="11"/>
      <c r="AY13" s="11"/>
      <c r="AZ13" s="11"/>
      <c r="BA13" s="11"/>
      <c r="BB13" s="11"/>
      <c r="BC13" s="11"/>
      <c r="BD13" s="11"/>
      <c r="BE13" s="11"/>
      <c r="BF13" s="11"/>
      <c r="BG13" s="11"/>
      <c r="BH13" s="11"/>
    </row>
    <row r="14" spans="1:65" x14ac:dyDescent="0.2">
      <c r="A14" s="10"/>
      <c r="B14" s="366" t="s">
        <v>975</v>
      </c>
      <c r="C14" s="366"/>
      <c r="D14" s="366"/>
      <c r="E14" s="366"/>
      <c r="F14" s="366"/>
      <c r="G14" s="366"/>
      <c r="H14" s="366"/>
      <c r="I14" s="366"/>
      <c r="AS14" s="11"/>
      <c r="AT14" s="11"/>
      <c r="AU14" s="11"/>
      <c r="AV14" s="11"/>
      <c r="AW14" s="11"/>
      <c r="AX14" s="11"/>
      <c r="AY14" s="11"/>
      <c r="AZ14" s="11"/>
      <c r="BA14" s="11"/>
      <c r="BB14" s="11"/>
      <c r="BC14" s="11"/>
      <c r="BD14" s="11"/>
      <c r="BE14" s="11"/>
      <c r="BF14" s="11"/>
      <c r="BG14" s="11"/>
      <c r="BH14" s="11"/>
    </row>
    <row r="15" spans="1:65" x14ac:dyDescent="0.2">
      <c r="A15" s="10"/>
      <c r="B15" s="366" t="s">
        <v>278</v>
      </c>
      <c r="C15" s="366"/>
      <c r="D15" s="366"/>
      <c r="E15" s="366"/>
      <c r="F15" s="366"/>
      <c r="G15" s="366"/>
      <c r="H15" s="366"/>
      <c r="I15" s="366"/>
      <c r="J15" s="10"/>
      <c r="K15" s="10"/>
      <c r="L15" s="10"/>
      <c r="M15" s="10"/>
      <c r="N15" s="10"/>
      <c r="O15" s="10"/>
      <c r="P15" s="10"/>
      <c r="Q15" s="10"/>
      <c r="BI15" s="8"/>
      <c r="BJ15" s="8"/>
      <c r="BK15" s="8"/>
      <c r="BL15" s="8"/>
      <c r="BM15" s="8"/>
    </row>
    <row r="16" spans="1:65" s="8" customFormat="1" ht="3" customHeight="1" x14ac:dyDescent="0.2">
      <c r="A16" s="10"/>
      <c r="D16" s="31"/>
      <c r="E16" s="32"/>
      <c r="F16" s="84"/>
      <c r="G16" s="84"/>
      <c r="H16" s="84"/>
      <c r="I16" s="10"/>
      <c r="J16" s="10"/>
      <c r="K16" s="10"/>
      <c r="L16" s="10"/>
    </row>
    <row r="17" spans="1:60" ht="15" x14ac:dyDescent="0.2">
      <c r="A17" s="10"/>
      <c r="B17" s="4" t="s">
        <v>0</v>
      </c>
      <c r="C17" s="4"/>
      <c r="D17" s="4"/>
      <c r="E17" s="12"/>
      <c r="F17" s="12"/>
      <c r="G17" s="12"/>
      <c r="H17" s="12"/>
      <c r="I17" s="13"/>
      <c r="AS17" s="11"/>
      <c r="AT17" s="11"/>
      <c r="AU17" s="11"/>
      <c r="AV17" s="11"/>
      <c r="AW17" s="11"/>
      <c r="AX17" s="11"/>
      <c r="AY17" s="11"/>
      <c r="AZ17" s="11"/>
      <c r="BA17" s="11"/>
      <c r="BB17" s="11"/>
      <c r="BC17" s="11"/>
      <c r="BD17" s="11"/>
      <c r="BE17" s="11"/>
      <c r="BF17" s="11"/>
      <c r="BG17" s="11"/>
      <c r="BH17" s="11"/>
    </row>
    <row r="18" spans="1:60" x14ac:dyDescent="0.2">
      <c r="A18" s="10"/>
      <c r="B18" s="6"/>
      <c r="C18" s="6"/>
      <c r="D18" s="6"/>
      <c r="E18" s="6"/>
      <c r="F18" s="6"/>
      <c r="G18" s="6"/>
      <c r="H18" s="6"/>
      <c r="I18" s="22"/>
      <c r="AS18" s="11"/>
      <c r="AT18" s="11"/>
      <c r="AU18" s="11"/>
      <c r="AV18" s="11"/>
      <c r="AW18" s="11"/>
      <c r="AX18" s="11"/>
      <c r="AY18" s="11"/>
      <c r="AZ18" s="11"/>
      <c r="BA18" s="11"/>
      <c r="BB18" s="11"/>
      <c r="BC18" s="11"/>
      <c r="BD18" s="11"/>
      <c r="BE18" s="11"/>
      <c r="BF18" s="11"/>
      <c r="BG18" s="11"/>
      <c r="BH18" s="11"/>
    </row>
    <row r="19" spans="1:60" ht="15" x14ac:dyDescent="0.2">
      <c r="A19" s="10"/>
      <c r="B19" s="14" t="s">
        <v>2</v>
      </c>
      <c r="C19" s="14"/>
      <c r="D19" s="14"/>
      <c r="E19" s="15" t="s">
        <v>4</v>
      </c>
      <c r="F19" s="16" t="s">
        <v>7</v>
      </c>
      <c r="G19" s="16" t="s">
        <v>3</v>
      </c>
      <c r="H19" s="16" t="s">
        <v>11</v>
      </c>
      <c r="I19" s="15" t="s">
        <v>34</v>
      </c>
      <c r="AS19" s="11"/>
      <c r="AT19" s="11"/>
      <c r="AU19" s="11"/>
      <c r="AV19" s="11"/>
      <c r="AW19" s="11"/>
      <c r="AX19" s="11"/>
      <c r="AY19" s="11"/>
      <c r="AZ19" s="11"/>
      <c r="BA19" s="11"/>
      <c r="BB19" s="11"/>
      <c r="BC19" s="11"/>
      <c r="BD19" s="11"/>
      <c r="BE19" s="11"/>
      <c r="BF19" s="11"/>
      <c r="BG19" s="11"/>
      <c r="BH19" s="11"/>
    </row>
    <row r="20" spans="1:60" x14ac:dyDescent="0.2">
      <c r="A20" s="10"/>
      <c r="B20" s="185"/>
      <c r="C20" s="14"/>
      <c r="D20" s="14"/>
      <c r="E20" s="15"/>
      <c r="F20" s="16"/>
      <c r="G20" s="16"/>
      <c r="H20" s="16"/>
      <c r="I20" s="15"/>
      <c r="AS20" s="11"/>
      <c r="AT20" s="11"/>
      <c r="AU20" s="11"/>
      <c r="AV20" s="11"/>
      <c r="AW20" s="11"/>
      <c r="AX20" s="11"/>
      <c r="AY20" s="11"/>
      <c r="AZ20" s="11"/>
      <c r="BA20" s="11"/>
      <c r="BB20" s="11"/>
      <c r="BC20" s="11"/>
      <c r="BD20" s="11"/>
      <c r="BE20" s="11"/>
      <c r="BF20" s="11"/>
      <c r="BG20" s="11"/>
      <c r="BH20" s="11"/>
    </row>
    <row r="21" spans="1:60" ht="15" x14ac:dyDescent="0.2">
      <c r="A21" s="10"/>
      <c r="B21" s="362" t="s">
        <v>234</v>
      </c>
      <c r="C21" s="362"/>
      <c r="D21" s="14"/>
      <c r="E21" s="30" t="s">
        <v>235</v>
      </c>
      <c r="F21" s="272">
        <v>296</v>
      </c>
      <c r="G21" s="7" t="s">
        <v>14</v>
      </c>
      <c r="H21" s="7" t="s">
        <v>13</v>
      </c>
      <c r="I21" s="15"/>
      <c r="AS21" s="11"/>
      <c r="AT21" s="11"/>
      <c r="AU21" s="11"/>
      <c r="AV21" s="11"/>
      <c r="AW21" s="11"/>
      <c r="AX21" s="11"/>
      <c r="AY21" s="11"/>
      <c r="AZ21" s="11"/>
      <c r="BA21" s="11"/>
      <c r="BB21" s="11"/>
      <c r="BC21" s="11"/>
      <c r="BD21" s="11"/>
      <c r="BE21" s="11"/>
      <c r="BF21" s="11"/>
      <c r="BG21" s="11"/>
      <c r="BH21" s="11"/>
    </row>
    <row r="22" spans="1:60" ht="5.0999999999999996" customHeight="1" x14ac:dyDescent="0.2">
      <c r="A22" s="10"/>
      <c r="B22" s="185"/>
      <c r="C22" s="185"/>
      <c r="D22" s="14"/>
      <c r="E22" s="30"/>
      <c r="F22" s="272"/>
      <c r="G22" s="7"/>
      <c r="H22" s="7"/>
      <c r="I22" s="15"/>
      <c r="AS22" s="11"/>
      <c r="AT22" s="11"/>
      <c r="AU22" s="11"/>
      <c r="AV22" s="11"/>
      <c r="AW22" s="11"/>
      <c r="AX22" s="11"/>
      <c r="AY22" s="11"/>
      <c r="AZ22" s="11"/>
      <c r="BA22" s="11"/>
      <c r="BB22" s="11"/>
      <c r="BC22" s="11"/>
      <c r="BD22" s="11"/>
      <c r="BE22" s="11"/>
      <c r="BF22" s="11"/>
      <c r="BG22" s="11"/>
      <c r="BH22" s="11"/>
    </row>
    <row r="23" spans="1:60" ht="15" x14ac:dyDescent="0.2">
      <c r="A23" s="10"/>
      <c r="B23" s="185" t="s">
        <v>233</v>
      </c>
      <c r="C23" s="185"/>
      <c r="D23" s="14"/>
      <c r="E23" s="30" t="s">
        <v>236</v>
      </c>
      <c r="F23" s="272">
        <v>911</v>
      </c>
      <c r="G23" s="7" t="s">
        <v>14</v>
      </c>
      <c r="H23" s="7" t="s">
        <v>13</v>
      </c>
      <c r="I23" s="15"/>
      <c r="AS23" s="11"/>
      <c r="AT23" s="11"/>
      <c r="AU23" s="11"/>
      <c r="AV23" s="11"/>
      <c r="AW23" s="11"/>
      <c r="AX23" s="11"/>
      <c r="AY23" s="11"/>
      <c r="AZ23" s="11"/>
      <c r="BA23" s="11"/>
      <c r="BB23" s="11"/>
      <c r="BC23" s="11"/>
      <c r="BD23" s="11"/>
      <c r="BE23" s="11"/>
      <c r="BF23" s="11"/>
      <c r="BG23" s="11"/>
      <c r="BH23" s="11"/>
    </row>
    <row r="24" spans="1:60" ht="5.0999999999999996" customHeight="1" x14ac:dyDescent="0.2">
      <c r="A24" s="10"/>
      <c r="B24" s="185"/>
      <c r="C24" s="14"/>
      <c r="D24" s="14"/>
      <c r="E24" s="15"/>
      <c r="F24" s="275"/>
      <c r="G24" s="7"/>
      <c r="H24" s="7"/>
      <c r="I24" s="15"/>
      <c r="AS24" s="11"/>
      <c r="AT24" s="11"/>
      <c r="AU24" s="11"/>
      <c r="AV24" s="11"/>
      <c r="AW24" s="11"/>
      <c r="AX24" s="11"/>
      <c r="AY24" s="11"/>
      <c r="AZ24" s="11"/>
      <c r="BA24" s="11"/>
      <c r="BB24" s="11"/>
      <c r="BC24" s="11"/>
      <c r="BD24" s="11"/>
      <c r="BE24" s="11"/>
      <c r="BF24" s="11"/>
      <c r="BG24" s="11"/>
      <c r="BH24" s="11"/>
    </row>
    <row r="25" spans="1:60" s="8" customFormat="1" x14ac:dyDescent="0.2">
      <c r="B25" s="362" t="s">
        <v>72</v>
      </c>
      <c r="C25" s="362"/>
      <c r="D25" s="34"/>
      <c r="E25" s="185" t="s">
        <v>73</v>
      </c>
      <c r="F25" s="273">
        <v>30</v>
      </c>
      <c r="G25" s="7" t="s">
        <v>10</v>
      </c>
      <c r="H25" s="7" t="s">
        <v>13</v>
      </c>
      <c r="I25" s="34"/>
    </row>
    <row r="26" spans="1:60" s="8" customFormat="1" ht="5.0999999999999996" customHeight="1" x14ac:dyDescent="0.2">
      <c r="B26" s="362"/>
      <c r="C26" s="362"/>
      <c r="D26" s="34"/>
      <c r="E26" s="22"/>
      <c r="F26" s="273"/>
      <c r="G26" s="19"/>
      <c r="H26" s="7"/>
      <c r="I26" s="34"/>
    </row>
    <row r="27" spans="1:60" s="8" customFormat="1" ht="40.5" x14ac:dyDescent="0.2">
      <c r="B27" s="362" t="s">
        <v>721</v>
      </c>
      <c r="C27" s="362"/>
      <c r="D27" s="34"/>
      <c r="E27" s="22" t="s">
        <v>75</v>
      </c>
      <c r="F27" s="273">
        <v>365</v>
      </c>
      <c r="G27" s="19" t="s">
        <v>10</v>
      </c>
      <c r="H27" s="7" t="s">
        <v>13</v>
      </c>
      <c r="I27" s="146" t="s">
        <v>966</v>
      </c>
    </row>
    <row r="28" spans="1:60" s="8" customFormat="1" ht="5.0999999999999996" customHeight="1" x14ac:dyDescent="0.2">
      <c r="B28" s="362"/>
      <c r="C28" s="362"/>
      <c r="D28" s="34"/>
      <c r="E28" s="22"/>
      <c r="F28" s="273"/>
      <c r="G28" s="19"/>
      <c r="H28" s="7"/>
      <c r="I28" s="34"/>
    </row>
    <row r="29" spans="1:60" s="8" customFormat="1" x14ac:dyDescent="0.2">
      <c r="B29" s="362" t="s">
        <v>74</v>
      </c>
      <c r="C29" s="362"/>
      <c r="D29" s="34"/>
      <c r="E29" s="22" t="s">
        <v>676</v>
      </c>
      <c r="F29" s="273">
        <v>7300</v>
      </c>
      <c r="G29" s="19" t="s">
        <v>10</v>
      </c>
      <c r="H29" s="7" t="s">
        <v>13</v>
      </c>
      <c r="I29" s="92" t="s">
        <v>628</v>
      </c>
    </row>
    <row r="30" spans="1:60" s="8" customFormat="1" ht="5.0999999999999996" customHeight="1" x14ac:dyDescent="0.2">
      <c r="B30" s="185"/>
      <c r="C30" s="185"/>
      <c r="D30" s="185"/>
      <c r="E30" s="30"/>
      <c r="F30" s="273"/>
      <c r="G30" s="19"/>
      <c r="H30" s="7"/>
      <c r="I30" s="7"/>
    </row>
    <row r="31" spans="1:60" s="8" customFormat="1" ht="30.75" customHeight="1" x14ac:dyDescent="0.2">
      <c r="B31" s="362" t="s">
        <v>193</v>
      </c>
      <c r="C31" s="362"/>
      <c r="D31" s="34"/>
      <c r="E31" s="185" t="s">
        <v>194</v>
      </c>
      <c r="F31" s="274"/>
      <c r="G31" s="19" t="s">
        <v>813</v>
      </c>
      <c r="H31" s="7" t="s">
        <v>6</v>
      </c>
      <c r="I31" s="34"/>
    </row>
    <row r="32" spans="1:60" s="8" customFormat="1" ht="5.0999999999999996" customHeight="1" x14ac:dyDescent="0.2">
      <c r="B32" s="362"/>
      <c r="C32" s="362"/>
      <c r="D32" s="34"/>
      <c r="E32" s="22"/>
      <c r="F32" s="273"/>
      <c r="G32" s="19"/>
      <c r="H32" s="7"/>
      <c r="I32" s="34"/>
    </row>
    <row r="33" spans="1:60" s="8" customFormat="1" ht="31.5" customHeight="1" x14ac:dyDescent="0.2">
      <c r="B33" s="362" t="s">
        <v>761</v>
      </c>
      <c r="C33" s="362"/>
      <c r="D33" s="34"/>
      <c r="E33" s="296" t="s">
        <v>196</v>
      </c>
      <c r="F33" s="274"/>
      <c r="G33" s="19" t="s">
        <v>813</v>
      </c>
      <c r="H33" s="7" t="s">
        <v>6</v>
      </c>
      <c r="I33" s="92"/>
    </row>
    <row r="34" spans="1:60" s="8" customFormat="1" ht="5.0999999999999996" customHeight="1" x14ac:dyDescent="0.2">
      <c r="B34" s="362"/>
      <c r="C34" s="362"/>
      <c r="D34" s="34"/>
      <c r="E34" s="22"/>
      <c r="F34" s="273"/>
      <c r="G34" s="19"/>
      <c r="H34" s="7"/>
      <c r="I34" s="34"/>
    </row>
    <row r="35" spans="1:60" s="8" customFormat="1" ht="31.5" customHeight="1" x14ac:dyDescent="0.2">
      <c r="B35" s="362" t="s">
        <v>195</v>
      </c>
      <c r="C35" s="362"/>
      <c r="D35" s="34"/>
      <c r="E35" s="185" t="s">
        <v>684</v>
      </c>
      <c r="F35" s="274"/>
      <c r="G35" s="19" t="s">
        <v>813</v>
      </c>
      <c r="H35" s="7" t="s">
        <v>6</v>
      </c>
      <c r="I35" s="92"/>
    </row>
    <row r="36" spans="1:60" s="8" customFormat="1" ht="5.0999999999999996" customHeight="1" x14ac:dyDescent="0.2">
      <c r="B36" s="185"/>
      <c r="C36" s="185"/>
      <c r="D36" s="34"/>
      <c r="E36" s="22"/>
      <c r="F36" s="273"/>
      <c r="G36" s="19"/>
      <c r="H36" s="7"/>
      <c r="I36" s="34"/>
    </row>
    <row r="37" spans="1:60" s="8" customFormat="1" ht="15" x14ac:dyDescent="0.2">
      <c r="B37" s="185" t="s">
        <v>239</v>
      </c>
      <c r="C37" s="185"/>
      <c r="D37" s="34"/>
      <c r="E37" s="22" t="s">
        <v>178</v>
      </c>
      <c r="F37" s="273">
        <v>1000</v>
      </c>
      <c r="G37" s="19" t="s">
        <v>285</v>
      </c>
      <c r="H37" s="7" t="s">
        <v>13</v>
      </c>
      <c r="I37" s="107"/>
    </row>
    <row r="38" spans="1:60" s="8" customFormat="1" ht="5.0999999999999996" customHeight="1" x14ac:dyDescent="0.2">
      <c r="B38" s="185"/>
      <c r="C38" s="185"/>
      <c r="D38" s="34"/>
      <c r="E38" s="22"/>
      <c r="F38" s="273"/>
      <c r="G38" s="19"/>
      <c r="H38" s="7"/>
      <c r="I38" s="107"/>
    </row>
    <row r="39" spans="1:60" s="8" customFormat="1" ht="14.25" x14ac:dyDescent="0.2">
      <c r="B39" s="362" t="s">
        <v>252</v>
      </c>
      <c r="C39" s="362"/>
      <c r="D39" s="34"/>
      <c r="E39" s="22" t="s">
        <v>253</v>
      </c>
      <c r="F39" s="273">
        <v>0.5</v>
      </c>
      <c r="G39" s="19" t="s">
        <v>10</v>
      </c>
      <c r="H39" s="7" t="s">
        <v>13</v>
      </c>
      <c r="I39" s="107"/>
    </row>
    <row r="40" spans="1:60" s="8" customFormat="1" x14ac:dyDescent="0.2">
      <c r="B40" s="193"/>
      <c r="C40" s="193"/>
      <c r="D40" s="34"/>
      <c r="E40" s="22"/>
      <c r="F40" s="7"/>
      <c r="G40" s="19"/>
      <c r="H40" s="7"/>
      <c r="I40" s="34"/>
    </row>
    <row r="41" spans="1:60" s="8" customFormat="1" x14ac:dyDescent="0.2">
      <c r="B41" s="244" t="s">
        <v>623</v>
      </c>
      <c r="C41" s="244"/>
      <c r="D41" s="34"/>
      <c r="E41" s="22"/>
      <c r="F41" s="7"/>
      <c r="G41" s="19"/>
      <c r="H41" s="7"/>
      <c r="I41" s="34"/>
    </row>
    <row r="42" spans="1:60" s="8" customFormat="1" x14ac:dyDescent="0.2">
      <c r="B42" s="261"/>
      <c r="C42" s="261"/>
      <c r="D42" s="34"/>
      <c r="E42" s="22"/>
      <c r="F42" s="7"/>
      <c r="G42" s="19"/>
      <c r="H42" s="7"/>
      <c r="I42" s="34"/>
    </row>
    <row r="43" spans="1:60" s="8" customFormat="1" ht="15" x14ac:dyDescent="0.2">
      <c r="B43" s="362" t="s">
        <v>478</v>
      </c>
      <c r="C43" s="362"/>
      <c r="D43" s="34"/>
      <c r="E43" s="22" t="s">
        <v>653</v>
      </c>
      <c r="F43" s="274"/>
      <c r="G43" s="19" t="s">
        <v>443</v>
      </c>
      <c r="H43" s="7" t="s">
        <v>6</v>
      </c>
      <c r="I43" s="34"/>
    </row>
    <row r="44" spans="1:60" s="8" customFormat="1" x14ac:dyDescent="0.2">
      <c r="B44" s="261"/>
      <c r="C44" s="261"/>
      <c r="D44" s="34"/>
      <c r="E44" s="22"/>
      <c r="F44" s="7"/>
      <c r="G44" s="19"/>
      <c r="H44" s="7"/>
      <c r="I44" s="34"/>
    </row>
    <row r="45" spans="1:60" ht="15" x14ac:dyDescent="0.2">
      <c r="A45" s="10"/>
      <c r="B45" s="4" t="s">
        <v>1</v>
      </c>
      <c r="C45" s="4"/>
      <c r="D45" s="4"/>
      <c r="E45" s="4"/>
      <c r="F45" s="12"/>
      <c r="G45" s="12"/>
      <c r="H45" s="12"/>
      <c r="I45" s="12"/>
      <c r="AT45" s="11"/>
      <c r="AU45" s="11"/>
      <c r="AV45" s="11"/>
      <c r="AW45" s="11"/>
      <c r="AX45" s="11"/>
      <c r="AY45" s="11"/>
      <c r="AZ45" s="11"/>
      <c r="BA45" s="11"/>
      <c r="BB45" s="11"/>
      <c r="BC45" s="11"/>
      <c r="BD45" s="11"/>
      <c r="BE45" s="11"/>
      <c r="BF45" s="11"/>
      <c r="BG45" s="11"/>
      <c r="BH45" s="11"/>
    </row>
    <row r="46" spans="1:60" x14ac:dyDescent="0.2">
      <c r="A46" s="10"/>
      <c r="B46" s="6"/>
      <c r="C46" s="6"/>
      <c r="D46" s="6"/>
      <c r="E46" s="6"/>
      <c r="F46" s="6"/>
      <c r="G46" s="6"/>
      <c r="H46" s="6"/>
      <c r="I46" s="6"/>
      <c r="AT46" s="11"/>
      <c r="AU46" s="11"/>
      <c r="AV46" s="11"/>
      <c r="AW46" s="11"/>
      <c r="AX46" s="11"/>
      <c r="AY46" s="11"/>
      <c r="AZ46" s="11"/>
      <c r="BA46" s="11"/>
      <c r="BB46" s="11"/>
      <c r="BC46" s="11"/>
      <c r="BD46" s="11"/>
      <c r="BE46" s="11"/>
      <c r="BF46" s="11"/>
      <c r="BG46" s="11"/>
      <c r="BH46" s="11"/>
    </row>
    <row r="47" spans="1:60" ht="15" x14ac:dyDescent="0.2">
      <c r="A47" s="10"/>
      <c r="B47" s="14" t="s">
        <v>2</v>
      </c>
      <c r="C47" s="14"/>
      <c r="D47" s="14"/>
      <c r="E47" s="15" t="s">
        <v>4</v>
      </c>
      <c r="F47" s="16" t="s">
        <v>7</v>
      </c>
      <c r="G47" s="16" t="s">
        <v>3</v>
      </c>
      <c r="H47" s="16" t="s">
        <v>11</v>
      </c>
      <c r="I47" s="15" t="s">
        <v>34</v>
      </c>
      <c r="AT47" s="11"/>
      <c r="AU47" s="11"/>
      <c r="AV47" s="11"/>
      <c r="AW47" s="11"/>
      <c r="AX47" s="11"/>
      <c r="AY47" s="11"/>
      <c r="AZ47" s="11"/>
      <c r="BA47" s="11"/>
      <c r="BB47" s="11"/>
      <c r="BC47" s="11"/>
      <c r="BD47" s="11"/>
      <c r="BE47" s="11"/>
      <c r="BF47" s="11"/>
      <c r="BG47" s="11"/>
      <c r="BH47" s="11"/>
    </row>
    <row r="48" spans="1:60" x14ac:dyDescent="0.2">
      <c r="A48" s="10"/>
      <c r="B48" s="14"/>
      <c r="C48" s="14"/>
      <c r="D48" s="14"/>
      <c r="E48" s="15"/>
      <c r="F48" s="16"/>
      <c r="G48" s="16"/>
      <c r="H48" s="16"/>
      <c r="I48" s="15"/>
      <c r="AT48" s="11"/>
      <c r="AU48" s="11"/>
      <c r="AV48" s="11"/>
      <c r="AW48" s="11"/>
      <c r="AX48" s="11"/>
      <c r="AY48" s="11"/>
      <c r="AZ48" s="11"/>
      <c r="BA48" s="11"/>
      <c r="BB48" s="11"/>
      <c r="BC48" s="11"/>
      <c r="BD48" s="11"/>
      <c r="BE48" s="11"/>
      <c r="BF48" s="11"/>
      <c r="BG48" s="11"/>
      <c r="BH48" s="11"/>
    </row>
    <row r="49" spans="1:60" s="8" customFormat="1" ht="27.95" customHeight="1" x14ac:dyDescent="0.2">
      <c r="A49" s="10"/>
      <c r="B49" s="362" t="s">
        <v>198</v>
      </c>
      <c r="C49" s="362"/>
      <c r="D49" s="30"/>
      <c r="E49" s="30" t="s">
        <v>202</v>
      </c>
      <c r="F49" s="228" t="str">
        <f>IF(ISNUMBER(Q_leach_TIME1),((AREAplanks+AREApoles)*Q_leach_TIME1/TIME1)*TAUseawater,"??")</f>
        <v>??</v>
      </c>
      <c r="G49" s="19" t="s">
        <v>794</v>
      </c>
      <c r="H49" s="7" t="s">
        <v>8</v>
      </c>
      <c r="I49" s="195" t="s">
        <v>256</v>
      </c>
    </row>
    <row r="50" spans="1:60" s="8" customFormat="1" ht="5.0999999999999996" customHeight="1" x14ac:dyDescent="0.2">
      <c r="A50" s="10"/>
      <c r="B50" s="296"/>
      <c r="C50" s="296"/>
      <c r="D50" s="296"/>
      <c r="E50" s="30"/>
      <c r="F50" s="30"/>
      <c r="G50" s="19"/>
      <c r="H50" s="7"/>
      <c r="I50" s="20"/>
    </row>
    <row r="51" spans="1:60" s="8" customFormat="1" ht="27.95" customHeight="1" x14ac:dyDescent="0.2">
      <c r="A51" s="10"/>
      <c r="B51" s="362" t="s">
        <v>763</v>
      </c>
      <c r="C51" s="362"/>
      <c r="D51" s="30"/>
      <c r="E51" s="30" t="s">
        <v>203</v>
      </c>
      <c r="F51" s="228" t="str">
        <f>IF(AND(ISNUMBER(Q_leach_TIME2),ISNUMBER(TIME2)),((AREAplanks+AREApoles)*Q_leach_TIME2/TIME2)*TAUseawater,"??")</f>
        <v>??</v>
      </c>
      <c r="G51" s="19" t="s">
        <v>794</v>
      </c>
      <c r="H51" s="7" t="s">
        <v>8</v>
      </c>
      <c r="I51" s="297" t="s">
        <v>257</v>
      </c>
    </row>
    <row r="52" spans="1:60" s="8" customFormat="1" ht="5.0999999999999996" customHeight="1" x14ac:dyDescent="0.2">
      <c r="A52" s="10"/>
      <c r="B52" s="193"/>
      <c r="C52" s="193"/>
      <c r="D52" s="193"/>
      <c r="E52" s="30"/>
      <c r="F52" s="30"/>
      <c r="G52" s="19"/>
      <c r="H52" s="7"/>
      <c r="I52" s="20"/>
    </row>
    <row r="53" spans="1:60" s="8" customFormat="1" ht="27.95" customHeight="1" x14ac:dyDescent="0.2">
      <c r="A53" s="10"/>
      <c r="B53" s="362" t="s">
        <v>199</v>
      </c>
      <c r="C53" s="362"/>
      <c r="D53" s="30"/>
      <c r="E53" s="30" t="s">
        <v>678</v>
      </c>
      <c r="F53" s="228" t="str">
        <f>IF(AND(ISNUMBER(Q_leach_TIME3),ISNUMBER(TIME3)),((AREAplanks+AREApoles)*Q_leach_TIME3/TIME3)*TAUseawater,"??")</f>
        <v>??</v>
      </c>
      <c r="G53" s="19" t="s">
        <v>794</v>
      </c>
      <c r="H53" s="7" t="s">
        <v>8</v>
      </c>
      <c r="I53" s="195" t="s">
        <v>762</v>
      </c>
    </row>
    <row r="54" spans="1:60" s="8" customFormat="1" x14ac:dyDescent="0.2">
      <c r="A54" s="10"/>
      <c r="B54" s="346"/>
      <c r="C54" s="346"/>
      <c r="D54" s="30"/>
      <c r="E54" s="30"/>
      <c r="F54" s="30"/>
      <c r="G54" s="19"/>
      <c r="H54" s="7"/>
      <c r="I54" s="348"/>
    </row>
    <row r="55" spans="1:60" s="8" customFormat="1" ht="27.95" customHeight="1" x14ac:dyDescent="0.2">
      <c r="A55" s="10"/>
      <c r="B55" s="363" t="s">
        <v>479</v>
      </c>
      <c r="C55" s="363"/>
      <c r="D55" s="167"/>
      <c r="E55" s="167" t="s">
        <v>502</v>
      </c>
      <c r="F55" s="228" t="str">
        <f>IF(ISNUMBER(Q_leach_TIME1),(AREAplanks+AREApoles)*Q_leach_TIME1/TIME1,"??")</f>
        <v>??</v>
      </c>
      <c r="G55" s="19" t="s">
        <v>814</v>
      </c>
      <c r="H55" s="19" t="s">
        <v>8</v>
      </c>
      <c r="I55" s="146" t="s">
        <v>508</v>
      </c>
    </row>
    <row r="56" spans="1:60" s="8" customFormat="1" ht="5.0999999999999996" customHeight="1" x14ac:dyDescent="0.2">
      <c r="A56" s="10"/>
      <c r="B56" s="298"/>
      <c r="C56" s="298"/>
      <c r="D56" s="298"/>
      <c r="E56" s="167"/>
      <c r="F56" s="198"/>
      <c r="G56" s="19"/>
      <c r="H56" s="19"/>
      <c r="I56" s="146"/>
    </row>
    <row r="57" spans="1:60" s="8" customFormat="1" ht="27.95" customHeight="1" x14ac:dyDescent="0.2">
      <c r="A57" s="10"/>
      <c r="B57" s="363" t="s">
        <v>767</v>
      </c>
      <c r="C57" s="363"/>
      <c r="D57" s="298"/>
      <c r="E57" s="167" t="s">
        <v>503</v>
      </c>
      <c r="F57" s="228" t="str">
        <f>IF(ISNUMBER(Q_leach_TIME2),(AREAplanks+AREApoles)*Q_leach_TIME2/TIME2,"??")</f>
        <v>??</v>
      </c>
      <c r="G57" s="19" t="s">
        <v>814</v>
      </c>
      <c r="H57" s="19" t="s">
        <v>8</v>
      </c>
      <c r="I57" s="146" t="s">
        <v>509</v>
      </c>
    </row>
    <row r="58" spans="1:60" s="8" customFormat="1" ht="5.0999999999999996" customHeight="1" x14ac:dyDescent="0.2">
      <c r="A58" s="10"/>
      <c r="B58" s="264"/>
      <c r="C58" s="264"/>
      <c r="D58" s="264"/>
      <c r="E58" s="167"/>
      <c r="F58" s="198"/>
      <c r="G58" s="19"/>
      <c r="H58" s="19"/>
      <c r="I58" s="146"/>
    </row>
    <row r="59" spans="1:60" s="8" customFormat="1" ht="27.95" customHeight="1" x14ac:dyDescent="0.2">
      <c r="A59" s="10"/>
      <c r="B59" s="363" t="s">
        <v>480</v>
      </c>
      <c r="C59" s="363"/>
      <c r="D59" s="264"/>
      <c r="E59" s="167" t="s">
        <v>713</v>
      </c>
      <c r="F59" s="228" t="str">
        <f>IF(ISNUMBER(Q_leach_TIME3),(AREAplanks+AREApoles)*Q_leach_TIME3/TIME3,"??")</f>
        <v>??</v>
      </c>
      <c r="G59" s="19" t="s">
        <v>814</v>
      </c>
      <c r="H59" s="19" t="s">
        <v>8</v>
      </c>
      <c r="I59" s="146" t="s">
        <v>766</v>
      </c>
    </row>
    <row r="60" spans="1:60" x14ac:dyDescent="0.2">
      <c r="A60" s="10"/>
      <c r="B60" s="14"/>
      <c r="C60" s="14"/>
      <c r="D60" s="14"/>
      <c r="E60" s="15"/>
      <c r="F60" s="16"/>
      <c r="G60" s="16"/>
      <c r="H60" s="16"/>
      <c r="I60" s="15"/>
      <c r="AT60" s="11"/>
      <c r="AU60" s="11"/>
      <c r="AV60" s="11"/>
      <c r="AW60" s="11"/>
      <c r="AX60" s="11"/>
      <c r="AY60" s="11"/>
      <c r="AZ60" s="11"/>
      <c r="BA60" s="11"/>
      <c r="BB60" s="11"/>
      <c r="BC60" s="11"/>
      <c r="BD60" s="11"/>
      <c r="BE60" s="11"/>
      <c r="BF60" s="11"/>
      <c r="BG60" s="11"/>
      <c r="BH60" s="11"/>
    </row>
    <row r="61" spans="1:60" ht="15" x14ac:dyDescent="0.2">
      <c r="A61" s="10"/>
      <c r="B61" s="382" t="s">
        <v>596</v>
      </c>
      <c r="C61" s="382"/>
      <c r="D61" s="382"/>
      <c r="E61" s="382"/>
      <c r="F61" s="382"/>
      <c r="G61" s="382"/>
      <c r="H61" s="382"/>
      <c r="I61" s="382"/>
      <c r="AT61" s="11"/>
      <c r="AU61" s="11"/>
      <c r="AV61" s="11"/>
      <c r="AW61" s="11"/>
      <c r="AX61" s="11"/>
      <c r="AY61" s="11"/>
      <c r="AZ61" s="11"/>
      <c r="BA61" s="11"/>
      <c r="BB61" s="11"/>
      <c r="BC61" s="11"/>
      <c r="BD61" s="11"/>
      <c r="BE61" s="11"/>
      <c r="BF61" s="11"/>
      <c r="BG61" s="11"/>
      <c r="BH61" s="11"/>
    </row>
    <row r="62" spans="1:60" x14ac:dyDescent="0.2">
      <c r="A62" s="10"/>
      <c r="B62" s="14"/>
      <c r="C62" s="14"/>
      <c r="D62" s="14"/>
      <c r="E62" s="15"/>
      <c r="F62" s="16"/>
      <c r="G62" s="16"/>
      <c r="H62" s="16"/>
      <c r="I62" s="15"/>
      <c r="AT62" s="11"/>
      <c r="AU62" s="11"/>
      <c r="AV62" s="11"/>
      <c r="AW62" s="11"/>
      <c r="AX62" s="11"/>
      <c r="AY62" s="11"/>
      <c r="AZ62" s="11"/>
      <c r="BA62" s="11"/>
      <c r="BB62" s="11"/>
      <c r="BC62" s="11"/>
      <c r="BD62" s="11"/>
      <c r="BE62" s="11"/>
      <c r="BF62" s="11"/>
      <c r="BG62" s="11"/>
      <c r="BH62" s="11"/>
    </row>
    <row r="63" spans="1:60" s="8" customFormat="1" ht="27.95" customHeight="1" x14ac:dyDescent="0.2">
      <c r="A63" s="10"/>
      <c r="B63" s="362" t="s">
        <v>240</v>
      </c>
      <c r="C63" s="362"/>
      <c r="D63" s="30"/>
      <c r="E63" s="30" t="s">
        <v>254</v>
      </c>
      <c r="F63" s="228" t="str">
        <f>IF(ISNUMBER(QleachTIME1),QleachTIME1/Vwater,"??")</f>
        <v>??</v>
      </c>
      <c r="G63" s="19" t="s">
        <v>835</v>
      </c>
      <c r="H63" s="7" t="s">
        <v>8</v>
      </c>
      <c r="I63" s="20" t="s">
        <v>242</v>
      </c>
    </row>
    <row r="64" spans="1:60" s="8" customFormat="1" ht="5.0999999999999996" customHeight="1" x14ac:dyDescent="0.2">
      <c r="A64" s="10"/>
      <c r="B64" s="296"/>
      <c r="C64" s="296"/>
      <c r="D64" s="296"/>
      <c r="E64" s="30"/>
      <c r="F64" s="30"/>
      <c r="G64" s="19"/>
      <c r="H64" s="7"/>
      <c r="I64" s="20"/>
    </row>
    <row r="65" spans="1:66" s="8" customFormat="1" ht="27.95" customHeight="1" x14ac:dyDescent="0.2">
      <c r="A65" s="10"/>
      <c r="B65" s="362" t="s">
        <v>764</v>
      </c>
      <c r="C65" s="362"/>
      <c r="D65" s="30"/>
      <c r="E65" s="30" t="s">
        <v>255</v>
      </c>
      <c r="F65" s="228" t="str">
        <f>IF(ISNUMBER(QleachTIME2),QleachTIME2/Vwater,"??")</f>
        <v>??</v>
      </c>
      <c r="G65" s="19" t="s">
        <v>835</v>
      </c>
      <c r="H65" s="7" t="s">
        <v>8</v>
      </c>
      <c r="I65" s="20" t="s">
        <v>243</v>
      </c>
    </row>
    <row r="66" spans="1:66" s="8" customFormat="1" ht="5.0999999999999996" customHeight="1" x14ac:dyDescent="0.2">
      <c r="A66" s="10"/>
      <c r="B66" s="185"/>
      <c r="C66" s="185"/>
      <c r="D66" s="185"/>
      <c r="E66" s="30"/>
      <c r="F66" s="30"/>
      <c r="G66" s="19"/>
      <c r="H66" s="7"/>
      <c r="I66" s="20"/>
    </row>
    <row r="67" spans="1:66" s="8" customFormat="1" ht="27.95" customHeight="1" x14ac:dyDescent="0.2">
      <c r="A67" s="10"/>
      <c r="B67" s="362" t="s">
        <v>241</v>
      </c>
      <c r="C67" s="362"/>
      <c r="D67" s="30"/>
      <c r="E67" s="30" t="s">
        <v>765</v>
      </c>
      <c r="F67" s="228" t="str">
        <f>IF(ISNUMBER(QleachTIME3),QleachTIME3/Vwater,"??")</f>
        <v>??</v>
      </c>
      <c r="G67" s="19" t="s">
        <v>835</v>
      </c>
      <c r="H67" s="7" t="s">
        <v>8</v>
      </c>
      <c r="I67" s="20" t="s">
        <v>731</v>
      </c>
    </row>
    <row r="68" spans="1:66" s="8" customFormat="1" x14ac:dyDescent="0.2">
      <c r="A68" s="10"/>
      <c r="B68" s="185"/>
      <c r="C68" s="185"/>
      <c r="D68" s="185"/>
      <c r="E68" s="30"/>
      <c r="F68" s="16"/>
      <c r="G68" s="7"/>
      <c r="H68" s="7"/>
      <c r="I68" s="20"/>
    </row>
    <row r="69" spans="1:66" s="8" customFormat="1" ht="15" x14ac:dyDescent="0.2">
      <c r="A69" s="10"/>
      <c r="B69" s="382" t="s">
        <v>624</v>
      </c>
      <c r="C69" s="382"/>
      <c r="D69" s="382"/>
      <c r="E69" s="382"/>
      <c r="F69" s="382"/>
      <c r="G69" s="382"/>
      <c r="H69" s="382"/>
      <c r="I69" s="382"/>
      <c r="J69" s="192"/>
      <c r="AT69" s="10"/>
      <c r="AU69" s="10"/>
      <c r="AV69" s="10"/>
      <c r="AW69" s="10"/>
      <c r="AX69" s="10"/>
      <c r="AY69" s="10"/>
      <c r="AZ69" s="10"/>
      <c r="BA69" s="10"/>
      <c r="BB69" s="10"/>
      <c r="BC69" s="10"/>
      <c r="BD69" s="10"/>
      <c r="BE69" s="10"/>
      <c r="BF69" s="10"/>
      <c r="BG69" s="10"/>
      <c r="BH69" s="10"/>
      <c r="BI69" s="10"/>
      <c r="BJ69" s="10"/>
      <c r="BK69" s="10"/>
      <c r="BL69" s="10"/>
      <c r="BM69" s="10"/>
      <c r="BN69" s="10"/>
    </row>
    <row r="70" spans="1:66" s="8" customFormat="1" x14ac:dyDescent="0.2">
      <c r="A70" s="10"/>
      <c r="B70" s="263"/>
      <c r="C70" s="263"/>
      <c r="D70" s="263"/>
      <c r="E70" s="263"/>
      <c r="F70" s="263"/>
      <c r="G70" s="7"/>
      <c r="H70" s="7"/>
      <c r="I70" s="20"/>
    </row>
    <row r="71" spans="1:66" s="8" customFormat="1" ht="35.1" customHeight="1" x14ac:dyDescent="0.2">
      <c r="A71" s="10"/>
      <c r="B71" s="362" t="s">
        <v>240</v>
      </c>
      <c r="C71" s="362"/>
      <c r="D71" s="264"/>
      <c r="E71" s="167" t="s">
        <v>504</v>
      </c>
      <c r="F71" s="228" t="str">
        <f>IF(AND(ISNUMBER(Ewater_leach_TIME1),ISNUMBER(kwater)),(Ewater_leach_TIME1*0.001/(Vwater*kwater))*(1-(1-EXP(-TAUseawater*kwater))/(kwater*TAUseawater)),"??")</f>
        <v>??</v>
      </c>
      <c r="G71" s="19" t="s">
        <v>810</v>
      </c>
      <c r="H71" s="19" t="s">
        <v>8</v>
      </c>
      <c r="I71" s="146" t="s">
        <v>836</v>
      </c>
    </row>
    <row r="72" spans="1:66" s="8" customFormat="1" ht="5.0999999999999996" customHeight="1" x14ac:dyDescent="0.2">
      <c r="A72" s="10"/>
      <c r="B72" s="346"/>
      <c r="C72" s="346"/>
      <c r="D72" s="298"/>
      <c r="E72" s="167"/>
      <c r="F72" s="198"/>
      <c r="G72" s="19"/>
      <c r="H72" s="19"/>
      <c r="I72" s="146"/>
    </row>
    <row r="73" spans="1:66" s="8" customFormat="1" ht="35.1" customHeight="1" x14ac:dyDescent="0.2">
      <c r="A73" s="10"/>
      <c r="B73" s="362" t="s">
        <v>764</v>
      </c>
      <c r="C73" s="362"/>
      <c r="D73" s="298"/>
      <c r="E73" s="167" t="s">
        <v>505</v>
      </c>
      <c r="F73" s="228" t="str">
        <f>IF(AND(ISNUMBER(Ewater_leach_TIME2),ISNUMBER(kwater)),(Ewater_leach_TIME2*0.001/(Vwater*kwater))*(1-(1-EXP(-TAUseawater*kwater))/(kwater*TAUseawater)),"??")</f>
        <v>??</v>
      </c>
      <c r="G73" s="19" t="s">
        <v>810</v>
      </c>
      <c r="H73" s="19" t="s">
        <v>8</v>
      </c>
      <c r="I73" s="146" t="s">
        <v>837</v>
      </c>
    </row>
    <row r="74" spans="1:66" s="8" customFormat="1" ht="5.0999999999999996" customHeight="1" x14ac:dyDescent="0.2">
      <c r="A74" s="10"/>
      <c r="B74" s="346"/>
      <c r="C74" s="346"/>
      <c r="D74" s="264"/>
      <c r="E74" s="167"/>
      <c r="F74" s="198"/>
      <c r="G74" s="19"/>
      <c r="H74" s="19"/>
      <c r="I74" s="146"/>
    </row>
    <row r="75" spans="1:66" s="8" customFormat="1" ht="35.25" customHeight="1" x14ac:dyDescent="0.2">
      <c r="A75" s="10"/>
      <c r="B75" s="362" t="s">
        <v>241</v>
      </c>
      <c r="C75" s="362"/>
      <c r="D75" s="264"/>
      <c r="E75" s="167" t="s">
        <v>716</v>
      </c>
      <c r="F75" s="228" t="str">
        <f>IF(AND(ISNUMBER(Ewater_leach_TIME3),ISNUMBER(kwater)),(Ewater_leach_TIME3*0.001/(Vwater*kwater))*(1-(1-EXP(-TAUseawater*kwater))/(kwater*TAUseawater)),"??")</f>
        <v>??</v>
      </c>
      <c r="G75" s="19" t="s">
        <v>810</v>
      </c>
      <c r="H75" s="19" t="s">
        <v>8</v>
      </c>
      <c r="I75" s="146" t="s">
        <v>838</v>
      </c>
    </row>
    <row r="76" spans="1:66" s="8" customFormat="1" x14ac:dyDescent="0.2">
      <c r="A76" s="10"/>
      <c r="B76" s="193"/>
      <c r="C76" s="193"/>
      <c r="D76" s="193"/>
      <c r="E76" s="30"/>
      <c r="F76" s="30"/>
      <c r="G76" s="7"/>
      <c r="H76" s="7"/>
      <c r="I76" s="146"/>
    </row>
    <row r="77" spans="1:66" s="8" customFormat="1" x14ac:dyDescent="0.2">
      <c r="B77" s="86" t="s">
        <v>12</v>
      </c>
      <c r="C77" s="86"/>
      <c r="F77" s="87"/>
      <c r="G77" s="88"/>
      <c r="H77" s="74"/>
      <c r="I77" s="85"/>
    </row>
    <row r="78" spans="1:66" s="73" customFormat="1" x14ac:dyDescent="0.2">
      <c r="B78" s="86"/>
      <c r="C78" s="115"/>
      <c r="G78" s="94"/>
      <c r="I78" s="94"/>
    </row>
    <row r="79" spans="1:66" s="73" customFormat="1" x14ac:dyDescent="0.2">
      <c r="B79" s="307" t="s">
        <v>818</v>
      </c>
      <c r="I79" s="94"/>
    </row>
    <row r="80" spans="1:66" s="73" customFormat="1" x14ac:dyDescent="0.2">
      <c r="E80" s="94"/>
      <c r="F80" s="113"/>
      <c r="G80" s="113"/>
      <c r="H80" s="113"/>
      <c r="I80" s="94"/>
    </row>
    <row r="81" spans="2:9" s="73" customFormat="1" x14ac:dyDescent="0.2">
      <c r="B81" s="186"/>
      <c r="E81" s="94"/>
      <c r="F81" s="113"/>
      <c r="G81" s="113"/>
      <c r="H81" s="113"/>
      <c r="I81" s="94"/>
    </row>
    <row r="82" spans="2:9" s="73" customFormat="1" x14ac:dyDescent="0.2">
      <c r="B82" s="366"/>
      <c r="C82" s="366"/>
      <c r="E82" s="116"/>
      <c r="F82" s="117"/>
      <c r="G82" s="113"/>
      <c r="H82" s="113"/>
      <c r="I82" s="94"/>
    </row>
    <row r="83" spans="2:9" s="73" customFormat="1" x14ac:dyDescent="0.2">
      <c r="B83" s="186"/>
      <c r="E83" s="94"/>
      <c r="F83" s="113"/>
      <c r="G83" s="113"/>
      <c r="H83" s="113"/>
      <c r="I83" s="94"/>
    </row>
    <row r="84" spans="2:9" s="73" customFormat="1" x14ac:dyDescent="0.2">
      <c r="B84" s="186"/>
      <c r="D84" s="186"/>
      <c r="E84" s="116"/>
      <c r="F84" s="114"/>
      <c r="G84" s="113"/>
      <c r="H84" s="113"/>
      <c r="I84" s="94"/>
    </row>
    <row r="85" spans="2:9" s="73" customFormat="1" x14ac:dyDescent="0.2">
      <c r="B85" s="186"/>
      <c r="C85" s="186"/>
      <c r="D85" s="186"/>
      <c r="E85" s="116"/>
      <c r="F85" s="113"/>
      <c r="G85" s="113"/>
      <c r="H85" s="113"/>
      <c r="I85" s="113"/>
    </row>
    <row r="86" spans="2:9" s="73" customFormat="1" x14ac:dyDescent="0.2">
      <c r="B86" s="366"/>
      <c r="C86" s="366"/>
      <c r="E86" s="186"/>
      <c r="F86" s="114"/>
      <c r="G86" s="113"/>
      <c r="H86" s="113"/>
    </row>
    <row r="87" spans="2:9" s="73" customFormat="1" x14ac:dyDescent="0.2">
      <c r="B87" s="366"/>
      <c r="C87" s="366"/>
      <c r="E87" s="94"/>
      <c r="F87" s="113"/>
      <c r="G87" s="113"/>
      <c r="H87" s="113"/>
    </row>
    <row r="88" spans="2:9" s="73" customFormat="1" x14ac:dyDescent="0.2">
      <c r="B88" s="366"/>
      <c r="C88" s="366"/>
      <c r="E88" s="94"/>
      <c r="F88" s="114"/>
      <c r="G88" s="113"/>
      <c r="H88" s="113"/>
    </row>
    <row r="89" spans="2:9" s="73" customFormat="1" x14ac:dyDescent="0.2">
      <c r="B89" s="186"/>
      <c r="C89" s="186"/>
      <c r="E89" s="94"/>
      <c r="F89" s="113"/>
      <c r="G89" s="113"/>
      <c r="H89" s="113"/>
    </row>
    <row r="90" spans="2:9" s="73" customFormat="1" x14ac:dyDescent="0.2">
      <c r="B90" s="186"/>
      <c r="C90" s="186"/>
      <c r="E90" s="94"/>
      <c r="F90" s="113"/>
      <c r="G90" s="113"/>
      <c r="H90" s="113"/>
    </row>
    <row r="91" spans="2:9" s="73" customFormat="1" x14ac:dyDescent="0.2">
      <c r="B91" s="186"/>
      <c r="C91" s="186"/>
      <c r="E91" s="94"/>
      <c r="F91" s="113"/>
      <c r="G91" s="113"/>
      <c r="H91" s="113"/>
      <c r="I91" s="116"/>
    </row>
    <row r="92" spans="2:9" s="73" customFormat="1" x14ac:dyDescent="0.2">
      <c r="B92" s="186"/>
      <c r="C92" s="186"/>
      <c r="E92" s="94"/>
      <c r="F92" s="113"/>
      <c r="G92" s="113"/>
      <c r="H92" s="113"/>
    </row>
    <row r="93" spans="2:9" s="73" customFormat="1" x14ac:dyDescent="0.2">
      <c r="B93" s="186"/>
      <c r="C93" s="186"/>
      <c r="E93" s="94"/>
      <c r="F93" s="113"/>
      <c r="G93" s="113"/>
      <c r="H93" s="113"/>
    </row>
    <row r="94" spans="2:9" s="73" customFormat="1" x14ac:dyDescent="0.2">
      <c r="B94" s="186"/>
      <c r="C94" s="186"/>
      <c r="E94" s="94"/>
      <c r="F94" s="113"/>
      <c r="G94" s="113"/>
      <c r="H94" s="113"/>
    </row>
    <row r="95" spans="2:9" s="73" customFormat="1" x14ac:dyDescent="0.2">
      <c r="B95" s="186"/>
      <c r="C95" s="186"/>
      <c r="E95" s="94"/>
      <c r="F95" s="113"/>
      <c r="G95" s="113"/>
      <c r="H95" s="113"/>
    </row>
    <row r="96" spans="2:9" s="73" customFormat="1" x14ac:dyDescent="0.2"/>
    <row r="97" spans="2:9" s="73" customFormat="1" x14ac:dyDescent="0.2"/>
    <row r="98" spans="2:9" s="73" customFormat="1" x14ac:dyDescent="0.2">
      <c r="E98" s="94"/>
      <c r="F98" s="113"/>
      <c r="G98" s="113"/>
      <c r="H98" s="113"/>
      <c r="I98" s="94"/>
    </row>
    <row r="99" spans="2:9" s="73" customFormat="1" x14ac:dyDescent="0.2">
      <c r="I99" s="94"/>
    </row>
    <row r="100" spans="2:9" s="73" customFormat="1" x14ac:dyDescent="0.2">
      <c r="B100" s="366"/>
      <c r="C100" s="366"/>
      <c r="D100" s="366"/>
      <c r="E100" s="116"/>
      <c r="F100" s="118"/>
      <c r="G100" s="113"/>
      <c r="H100" s="113"/>
      <c r="I100" s="94"/>
    </row>
    <row r="101" spans="2:9" s="73" customFormat="1" x14ac:dyDescent="0.2">
      <c r="B101" s="186"/>
      <c r="C101" s="186"/>
      <c r="D101" s="186"/>
      <c r="E101" s="116"/>
      <c r="F101" s="116"/>
      <c r="G101" s="113"/>
      <c r="H101" s="113"/>
      <c r="I101" s="94"/>
    </row>
    <row r="102" spans="2:9" s="73" customFormat="1" x14ac:dyDescent="0.2">
      <c r="B102" s="366"/>
      <c r="C102" s="366"/>
      <c r="D102" s="366"/>
      <c r="E102" s="116"/>
      <c r="F102" s="118"/>
      <c r="G102" s="113"/>
      <c r="H102" s="113"/>
      <c r="I102" s="94"/>
    </row>
    <row r="103" spans="2:9" s="73" customFormat="1" x14ac:dyDescent="0.2">
      <c r="B103" s="186"/>
      <c r="C103" s="186"/>
      <c r="D103" s="186"/>
      <c r="E103" s="116"/>
      <c r="F103" s="116"/>
      <c r="G103" s="113"/>
      <c r="H103" s="113"/>
      <c r="I103" s="94"/>
    </row>
    <row r="104" spans="2:9" s="73" customFormat="1" x14ac:dyDescent="0.2">
      <c r="B104" s="116"/>
      <c r="C104" s="116"/>
      <c r="D104" s="186"/>
      <c r="E104" s="116"/>
      <c r="F104" s="116"/>
      <c r="H104" s="113"/>
      <c r="I104" s="113"/>
    </row>
    <row r="105" spans="2:9" s="73" customFormat="1" x14ac:dyDescent="0.2">
      <c r="I105" s="94"/>
    </row>
    <row r="106" spans="2:9" s="73" customFormat="1" x14ac:dyDescent="0.2">
      <c r="G106" s="94"/>
      <c r="I106" s="94"/>
    </row>
    <row r="107" spans="2:9" s="73" customFormat="1" x14ac:dyDescent="0.2">
      <c r="C107" s="115"/>
      <c r="G107" s="94"/>
      <c r="I107" s="94"/>
    </row>
    <row r="108" spans="2:9" s="73" customFormat="1" x14ac:dyDescent="0.2">
      <c r="C108" s="115"/>
      <c r="G108" s="94"/>
      <c r="I108" s="94"/>
    </row>
    <row r="109" spans="2:9" s="73" customFormat="1" x14ac:dyDescent="0.2">
      <c r="E109" s="94"/>
    </row>
    <row r="110" spans="2:9" s="73" customFormat="1" x14ac:dyDescent="0.2">
      <c r="E110" s="94"/>
    </row>
    <row r="111" spans="2:9" s="73" customFormat="1" x14ac:dyDescent="0.2">
      <c r="E111" s="94"/>
    </row>
    <row r="112" spans="2:9" s="73" customFormat="1" x14ac:dyDescent="0.2">
      <c r="E112" s="94"/>
    </row>
    <row r="113" spans="5:5" s="73" customFormat="1" x14ac:dyDescent="0.2">
      <c r="E113" s="94"/>
    </row>
    <row r="114" spans="5:5" s="73" customFormat="1" x14ac:dyDescent="0.2">
      <c r="E114" s="94"/>
    </row>
    <row r="115" spans="5:5" s="73" customFormat="1" x14ac:dyDescent="0.2">
      <c r="E115" s="94"/>
    </row>
    <row r="116" spans="5:5" s="73" customFormat="1" x14ac:dyDescent="0.2">
      <c r="E116" s="94"/>
    </row>
    <row r="117" spans="5:5" s="10" customFormat="1" x14ac:dyDescent="0.2">
      <c r="E117" s="61"/>
    </row>
    <row r="118" spans="5:5" s="10" customFormat="1" x14ac:dyDescent="0.2">
      <c r="E118" s="61"/>
    </row>
    <row r="119" spans="5:5" s="10" customFormat="1" x14ac:dyDescent="0.2">
      <c r="E119" s="61"/>
    </row>
    <row r="120" spans="5:5" s="10" customFormat="1" x14ac:dyDescent="0.2">
      <c r="E120" s="61"/>
    </row>
    <row r="121" spans="5:5" s="10" customFormat="1" x14ac:dyDescent="0.2">
      <c r="E121" s="61"/>
    </row>
    <row r="122" spans="5:5" s="10" customFormat="1" x14ac:dyDescent="0.2">
      <c r="E122" s="61"/>
    </row>
    <row r="123" spans="5:5" s="10" customFormat="1" x14ac:dyDescent="0.2">
      <c r="E123" s="61"/>
    </row>
    <row r="124" spans="5:5" s="10" customFormat="1" x14ac:dyDescent="0.2">
      <c r="E124" s="61"/>
    </row>
    <row r="125" spans="5:5" s="10" customFormat="1" x14ac:dyDescent="0.2">
      <c r="E125" s="61"/>
    </row>
    <row r="126" spans="5:5" s="10" customFormat="1" x14ac:dyDescent="0.2">
      <c r="E126" s="61"/>
    </row>
    <row r="127" spans="5:5" s="10" customFormat="1" x14ac:dyDescent="0.2">
      <c r="E127" s="61"/>
    </row>
    <row r="128" spans="5:5" s="10" customFormat="1" x14ac:dyDescent="0.2">
      <c r="E128" s="61"/>
    </row>
    <row r="129" spans="5:5" s="10" customFormat="1" x14ac:dyDescent="0.2">
      <c r="E129" s="61"/>
    </row>
    <row r="130" spans="5:5" s="10" customFormat="1" x14ac:dyDescent="0.2">
      <c r="E130" s="61"/>
    </row>
    <row r="131" spans="5:5" s="10" customFormat="1" x14ac:dyDescent="0.2">
      <c r="E131" s="61"/>
    </row>
    <row r="132" spans="5:5" s="8" customFormat="1" x14ac:dyDescent="0.2">
      <c r="E132" s="85"/>
    </row>
    <row r="133" spans="5:5" s="8" customFormat="1" x14ac:dyDescent="0.2">
      <c r="E133" s="85"/>
    </row>
    <row r="134" spans="5:5" s="8" customFormat="1" x14ac:dyDescent="0.2">
      <c r="E134" s="85"/>
    </row>
    <row r="135" spans="5:5" s="8" customFormat="1" x14ac:dyDescent="0.2">
      <c r="E135" s="85"/>
    </row>
    <row r="136" spans="5:5" s="8" customFormat="1" x14ac:dyDescent="0.2">
      <c r="E136" s="85"/>
    </row>
    <row r="137" spans="5:5" s="8" customFormat="1" x14ac:dyDescent="0.2">
      <c r="E137" s="85"/>
    </row>
    <row r="138" spans="5:5" s="8" customFormat="1" x14ac:dyDescent="0.2">
      <c r="E138" s="85"/>
    </row>
    <row r="139" spans="5:5" s="8" customFormat="1" x14ac:dyDescent="0.2">
      <c r="E139" s="85"/>
    </row>
    <row r="140" spans="5:5" s="8" customFormat="1" x14ac:dyDescent="0.2">
      <c r="E140" s="85"/>
    </row>
    <row r="141" spans="5:5" s="8" customFormat="1" x14ac:dyDescent="0.2">
      <c r="E141" s="85"/>
    </row>
    <row r="142" spans="5:5" s="8" customFormat="1" x14ac:dyDescent="0.2">
      <c r="E142" s="85"/>
    </row>
    <row r="143" spans="5:5" s="8" customFormat="1" x14ac:dyDescent="0.2">
      <c r="E143" s="85"/>
    </row>
    <row r="144" spans="5:5" s="8" customFormat="1" x14ac:dyDescent="0.2">
      <c r="E144" s="85"/>
    </row>
    <row r="145" spans="5:5" s="8" customFormat="1" x14ac:dyDescent="0.2">
      <c r="E145" s="85"/>
    </row>
    <row r="146" spans="5:5" s="8" customFormat="1" x14ac:dyDescent="0.2">
      <c r="E146" s="85"/>
    </row>
    <row r="147" spans="5:5" s="8" customFormat="1" x14ac:dyDescent="0.2">
      <c r="E147" s="85"/>
    </row>
    <row r="148" spans="5:5" s="8" customFormat="1" x14ac:dyDescent="0.2">
      <c r="E148" s="85"/>
    </row>
    <row r="149" spans="5:5" s="8" customFormat="1" x14ac:dyDescent="0.2">
      <c r="E149" s="85"/>
    </row>
    <row r="150" spans="5:5" s="8" customFormat="1" x14ac:dyDescent="0.2">
      <c r="E150" s="85"/>
    </row>
    <row r="151" spans="5:5" s="8" customFormat="1" x14ac:dyDescent="0.2">
      <c r="E151" s="85"/>
    </row>
    <row r="152" spans="5:5" s="8" customFormat="1" x14ac:dyDescent="0.2">
      <c r="E152" s="85"/>
    </row>
    <row r="153" spans="5:5" s="8" customFormat="1" x14ac:dyDescent="0.2">
      <c r="E153" s="85"/>
    </row>
    <row r="154" spans="5:5" s="8" customFormat="1" x14ac:dyDescent="0.2">
      <c r="E154" s="85"/>
    </row>
    <row r="155" spans="5:5" s="8" customFormat="1" x14ac:dyDescent="0.2">
      <c r="E155" s="85"/>
    </row>
    <row r="156" spans="5:5" s="8" customFormat="1" x14ac:dyDescent="0.2">
      <c r="E156" s="85"/>
    </row>
    <row r="157" spans="5:5" s="8" customFormat="1" x14ac:dyDescent="0.2">
      <c r="E157" s="85"/>
    </row>
    <row r="158" spans="5:5" s="8" customFormat="1" x14ac:dyDescent="0.2">
      <c r="E158" s="85"/>
    </row>
    <row r="159" spans="5:5" s="8" customFormat="1" x14ac:dyDescent="0.2">
      <c r="E159" s="85"/>
    </row>
    <row r="160" spans="5:5" s="8" customFormat="1" x14ac:dyDescent="0.2">
      <c r="E160" s="85"/>
    </row>
    <row r="161" spans="5:5" s="8" customFormat="1" x14ac:dyDescent="0.2">
      <c r="E161" s="85"/>
    </row>
    <row r="162" spans="5:5" s="8" customFormat="1" x14ac:dyDescent="0.2">
      <c r="E162" s="85"/>
    </row>
    <row r="163" spans="5:5" s="8" customFormat="1" x14ac:dyDescent="0.2">
      <c r="E163" s="85"/>
    </row>
    <row r="164" spans="5:5" s="8" customFormat="1" x14ac:dyDescent="0.2">
      <c r="E164" s="85"/>
    </row>
    <row r="165" spans="5:5" s="8" customFormat="1" x14ac:dyDescent="0.2">
      <c r="E165" s="85"/>
    </row>
    <row r="166" spans="5:5" s="8" customFormat="1" x14ac:dyDescent="0.2">
      <c r="E166" s="85"/>
    </row>
    <row r="167" spans="5:5" s="8" customFormat="1" x14ac:dyDescent="0.2">
      <c r="E167" s="85"/>
    </row>
    <row r="168" spans="5:5" s="8" customFormat="1" x14ac:dyDescent="0.2">
      <c r="E168" s="85"/>
    </row>
    <row r="169" spans="5:5" s="8" customFormat="1" x14ac:dyDescent="0.2">
      <c r="E169" s="85"/>
    </row>
    <row r="170" spans="5:5" s="8" customFormat="1" x14ac:dyDescent="0.2">
      <c r="E170" s="85"/>
    </row>
    <row r="171" spans="5:5" s="8" customFormat="1" x14ac:dyDescent="0.2">
      <c r="E171" s="85"/>
    </row>
    <row r="172" spans="5:5" s="8" customFormat="1" x14ac:dyDescent="0.2">
      <c r="E172" s="85"/>
    </row>
    <row r="173" spans="5:5" s="8" customFormat="1" x14ac:dyDescent="0.2">
      <c r="E173" s="85"/>
    </row>
    <row r="174" spans="5:5" s="8" customFormat="1" x14ac:dyDescent="0.2">
      <c r="E174" s="85"/>
    </row>
    <row r="175" spans="5:5" s="8" customFormat="1" x14ac:dyDescent="0.2">
      <c r="E175" s="85"/>
    </row>
    <row r="176" spans="5:5" s="8" customFormat="1" x14ac:dyDescent="0.2">
      <c r="E176" s="85"/>
    </row>
    <row r="177" spans="5:5" s="8" customFormat="1" x14ac:dyDescent="0.2">
      <c r="E177" s="85"/>
    </row>
    <row r="178" spans="5:5" s="8" customFormat="1" x14ac:dyDescent="0.2">
      <c r="E178" s="85"/>
    </row>
    <row r="179" spans="5:5" s="8" customFormat="1" x14ac:dyDescent="0.2">
      <c r="E179" s="85"/>
    </row>
    <row r="180" spans="5:5" s="8" customFormat="1" x14ac:dyDescent="0.2">
      <c r="E180" s="85"/>
    </row>
    <row r="181" spans="5:5" s="8" customFormat="1" x14ac:dyDescent="0.2">
      <c r="E181" s="85"/>
    </row>
    <row r="182" spans="5:5" s="8" customFormat="1" x14ac:dyDescent="0.2">
      <c r="E182" s="85"/>
    </row>
    <row r="183" spans="5:5" s="8" customFormat="1" x14ac:dyDescent="0.2">
      <c r="E183" s="85"/>
    </row>
    <row r="184" spans="5:5" s="8" customFormat="1" x14ac:dyDescent="0.2">
      <c r="E184" s="85"/>
    </row>
    <row r="185" spans="5:5" s="8" customFormat="1" x14ac:dyDescent="0.2">
      <c r="E185" s="85"/>
    </row>
    <row r="186" spans="5:5" s="8" customFormat="1" x14ac:dyDescent="0.2">
      <c r="E186" s="85"/>
    </row>
    <row r="187" spans="5:5" s="8" customFormat="1" x14ac:dyDescent="0.2">
      <c r="E187" s="85"/>
    </row>
    <row r="188" spans="5:5" s="8" customFormat="1" x14ac:dyDescent="0.2">
      <c r="E188" s="85"/>
    </row>
    <row r="189" spans="5:5" s="8" customFormat="1" x14ac:dyDescent="0.2">
      <c r="E189" s="85"/>
    </row>
    <row r="190" spans="5:5" s="8" customFormat="1" x14ac:dyDescent="0.2">
      <c r="E190" s="85"/>
    </row>
    <row r="191" spans="5:5" s="8" customFormat="1" x14ac:dyDescent="0.2">
      <c r="E191" s="85"/>
    </row>
    <row r="192" spans="5:5" s="8" customFormat="1" x14ac:dyDescent="0.2">
      <c r="E192" s="85"/>
    </row>
    <row r="193" spans="5:5" s="8" customFormat="1" x14ac:dyDescent="0.2">
      <c r="E193" s="85"/>
    </row>
    <row r="194" spans="5:5" s="8" customFormat="1" x14ac:dyDescent="0.2">
      <c r="E194" s="85"/>
    </row>
    <row r="195" spans="5:5" s="8" customFormat="1" x14ac:dyDescent="0.2">
      <c r="E195" s="85"/>
    </row>
    <row r="196" spans="5:5" s="8" customFormat="1" x14ac:dyDescent="0.2">
      <c r="E196" s="85"/>
    </row>
    <row r="197" spans="5:5" s="8" customFormat="1" x14ac:dyDescent="0.2">
      <c r="E197" s="85"/>
    </row>
    <row r="198" spans="5:5" s="8" customFormat="1" x14ac:dyDescent="0.2">
      <c r="E198" s="85"/>
    </row>
    <row r="199" spans="5:5" s="8" customFormat="1" x14ac:dyDescent="0.2">
      <c r="E199" s="85"/>
    </row>
    <row r="200" spans="5:5" s="8" customFormat="1" x14ac:dyDescent="0.2">
      <c r="E200" s="85"/>
    </row>
    <row r="201" spans="5:5" s="8" customFormat="1" x14ac:dyDescent="0.2">
      <c r="E201" s="85"/>
    </row>
    <row r="202" spans="5:5" s="8" customFormat="1" x14ac:dyDescent="0.2">
      <c r="E202" s="85"/>
    </row>
    <row r="203" spans="5:5" s="8" customFormat="1" x14ac:dyDescent="0.2">
      <c r="E203" s="85"/>
    </row>
    <row r="204" spans="5:5" s="8" customFormat="1" x14ac:dyDescent="0.2">
      <c r="E204" s="85"/>
    </row>
    <row r="205" spans="5:5" s="8" customFormat="1" x14ac:dyDescent="0.2">
      <c r="E205" s="85"/>
    </row>
    <row r="206" spans="5:5" s="8" customFormat="1" x14ac:dyDescent="0.2">
      <c r="E206" s="85"/>
    </row>
    <row r="207" spans="5:5" s="8" customFormat="1" x14ac:dyDescent="0.2">
      <c r="E207" s="85"/>
    </row>
    <row r="208" spans="5:5" s="8" customFormat="1" x14ac:dyDescent="0.2">
      <c r="E208" s="85"/>
    </row>
    <row r="209" spans="5:5" s="8" customFormat="1" x14ac:dyDescent="0.2">
      <c r="E209" s="85"/>
    </row>
    <row r="210" spans="5:5" s="8" customFormat="1" x14ac:dyDescent="0.2">
      <c r="E210" s="85"/>
    </row>
    <row r="211" spans="5:5" s="8" customFormat="1" x14ac:dyDescent="0.2">
      <c r="E211" s="85"/>
    </row>
    <row r="212" spans="5:5" s="8" customFormat="1" x14ac:dyDescent="0.2">
      <c r="E212" s="85"/>
    </row>
    <row r="213" spans="5:5" s="8" customFormat="1" x14ac:dyDescent="0.2">
      <c r="E213" s="85"/>
    </row>
    <row r="214" spans="5:5" s="8" customFormat="1" x14ac:dyDescent="0.2">
      <c r="E214" s="85"/>
    </row>
    <row r="215" spans="5:5" s="8" customFormat="1" x14ac:dyDescent="0.2">
      <c r="E215" s="85"/>
    </row>
    <row r="216" spans="5:5" s="8" customFormat="1" x14ac:dyDescent="0.2">
      <c r="E216" s="85"/>
    </row>
    <row r="217" spans="5:5" s="8" customFormat="1" x14ac:dyDescent="0.2">
      <c r="E217" s="85"/>
    </row>
    <row r="218" spans="5:5" s="8" customFormat="1" x14ac:dyDescent="0.2">
      <c r="E218" s="85"/>
    </row>
    <row r="219" spans="5:5" s="8" customFormat="1" x14ac:dyDescent="0.2">
      <c r="E219" s="85"/>
    </row>
    <row r="220" spans="5:5" s="8" customFormat="1" x14ac:dyDescent="0.2">
      <c r="E220" s="85"/>
    </row>
    <row r="221" spans="5:5" s="8" customFormat="1" x14ac:dyDescent="0.2">
      <c r="E221" s="85"/>
    </row>
    <row r="222" spans="5:5" s="8" customFormat="1" x14ac:dyDescent="0.2">
      <c r="E222" s="85"/>
    </row>
    <row r="223" spans="5:5" s="8" customFormat="1" x14ac:dyDescent="0.2">
      <c r="E223" s="85"/>
    </row>
    <row r="224" spans="5:5" s="8" customFormat="1" x14ac:dyDescent="0.2">
      <c r="E224" s="85"/>
    </row>
    <row r="225" spans="5:5" s="8" customFormat="1" x14ac:dyDescent="0.2">
      <c r="E225" s="85"/>
    </row>
    <row r="226" spans="5:5" s="8" customFormat="1" x14ac:dyDescent="0.2">
      <c r="E226" s="85"/>
    </row>
    <row r="227" spans="5:5" s="8" customFormat="1" x14ac:dyDescent="0.2">
      <c r="E227" s="85"/>
    </row>
    <row r="228" spans="5:5" s="8" customFormat="1" x14ac:dyDescent="0.2">
      <c r="E228" s="85"/>
    </row>
    <row r="229" spans="5:5" s="8" customFormat="1" x14ac:dyDescent="0.2">
      <c r="E229" s="85"/>
    </row>
    <row r="230" spans="5:5" s="8" customFormat="1" x14ac:dyDescent="0.2">
      <c r="E230" s="85"/>
    </row>
    <row r="231" spans="5:5" s="8" customFormat="1" x14ac:dyDescent="0.2">
      <c r="E231" s="85"/>
    </row>
    <row r="232" spans="5:5" s="8" customFormat="1" x14ac:dyDescent="0.2">
      <c r="E232" s="85"/>
    </row>
    <row r="233" spans="5:5" s="8" customFormat="1" x14ac:dyDescent="0.2">
      <c r="E233" s="85"/>
    </row>
    <row r="234" spans="5:5" s="8" customFormat="1" x14ac:dyDescent="0.2">
      <c r="E234" s="85"/>
    </row>
    <row r="235" spans="5:5" s="8" customFormat="1" x14ac:dyDescent="0.2">
      <c r="E235" s="85"/>
    </row>
    <row r="236" spans="5:5" s="8" customFormat="1" x14ac:dyDescent="0.2">
      <c r="E236" s="85"/>
    </row>
    <row r="237" spans="5:5" s="8" customFormat="1" x14ac:dyDescent="0.2">
      <c r="E237" s="85"/>
    </row>
    <row r="238" spans="5:5" s="8" customFormat="1" x14ac:dyDescent="0.2">
      <c r="E238" s="85"/>
    </row>
    <row r="239" spans="5:5" s="8" customFormat="1" x14ac:dyDescent="0.2">
      <c r="E239" s="85"/>
    </row>
    <row r="240" spans="5:5" s="8" customFormat="1" x14ac:dyDescent="0.2">
      <c r="E240" s="85"/>
    </row>
    <row r="241" spans="5:5" s="8" customFormat="1" x14ac:dyDescent="0.2">
      <c r="E241" s="85"/>
    </row>
    <row r="242" spans="5:5" s="8" customFormat="1" x14ac:dyDescent="0.2">
      <c r="E242" s="85"/>
    </row>
    <row r="243" spans="5:5" s="8" customFormat="1" x14ac:dyDescent="0.2">
      <c r="E243" s="85"/>
    </row>
    <row r="244" spans="5:5" s="8" customFormat="1" x14ac:dyDescent="0.2">
      <c r="E244" s="85"/>
    </row>
    <row r="245" spans="5:5" s="8" customFormat="1" x14ac:dyDescent="0.2">
      <c r="E245" s="85"/>
    </row>
    <row r="246" spans="5:5" s="8" customFormat="1" x14ac:dyDescent="0.2">
      <c r="E246" s="85"/>
    </row>
    <row r="247" spans="5:5" s="8" customFormat="1" x14ac:dyDescent="0.2">
      <c r="E247" s="85"/>
    </row>
    <row r="248" spans="5:5" s="8" customFormat="1" x14ac:dyDescent="0.2">
      <c r="E248" s="85"/>
    </row>
    <row r="249" spans="5:5" s="8" customFormat="1" x14ac:dyDescent="0.2">
      <c r="E249" s="85"/>
    </row>
    <row r="250" spans="5:5" s="8" customFormat="1" x14ac:dyDescent="0.2">
      <c r="E250" s="85"/>
    </row>
    <row r="251" spans="5:5" s="8" customFormat="1" x14ac:dyDescent="0.2">
      <c r="E251" s="85"/>
    </row>
    <row r="252" spans="5:5" s="8" customFormat="1" x14ac:dyDescent="0.2">
      <c r="E252" s="85"/>
    </row>
    <row r="253" spans="5:5" s="8" customFormat="1" x14ac:dyDescent="0.2">
      <c r="E253" s="85"/>
    </row>
    <row r="254" spans="5:5" s="8" customFormat="1" x14ac:dyDescent="0.2">
      <c r="E254" s="85"/>
    </row>
    <row r="255" spans="5:5" s="8" customFormat="1" x14ac:dyDescent="0.2">
      <c r="E255" s="85"/>
    </row>
    <row r="256" spans="5:5" s="8" customFormat="1" x14ac:dyDescent="0.2">
      <c r="E256" s="85"/>
    </row>
    <row r="257" spans="5:5" s="8" customFormat="1" x14ac:dyDescent="0.2">
      <c r="E257" s="85"/>
    </row>
    <row r="258" spans="5:5" s="8" customFormat="1" x14ac:dyDescent="0.2">
      <c r="E258" s="85"/>
    </row>
    <row r="259" spans="5:5" s="8" customFormat="1" x14ac:dyDescent="0.2">
      <c r="E259" s="85"/>
    </row>
    <row r="260" spans="5:5" s="8" customFormat="1" x14ac:dyDescent="0.2">
      <c r="E260" s="85"/>
    </row>
    <row r="261" spans="5:5" s="8" customFormat="1" x14ac:dyDescent="0.2">
      <c r="E261" s="85"/>
    </row>
    <row r="262" spans="5:5" s="8" customFormat="1" x14ac:dyDescent="0.2">
      <c r="E262" s="85"/>
    </row>
    <row r="263" spans="5:5" s="8" customFormat="1" x14ac:dyDescent="0.2">
      <c r="E263" s="85"/>
    </row>
    <row r="264" spans="5:5" s="8" customFormat="1" x14ac:dyDescent="0.2">
      <c r="E264" s="85"/>
    </row>
    <row r="265" spans="5:5" s="8" customFormat="1" x14ac:dyDescent="0.2">
      <c r="E265" s="85"/>
    </row>
    <row r="266" spans="5:5" s="8" customFormat="1" x14ac:dyDescent="0.2">
      <c r="E266" s="85"/>
    </row>
    <row r="267" spans="5:5" s="8" customFormat="1" x14ac:dyDescent="0.2">
      <c r="E267" s="85"/>
    </row>
    <row r="268" spans="5:5" s="8" customFormat="1" x14ac:dyDescent="0.2">
      <c r="E268" s="85"/>
    </row>
    <row r="269" spans="5:5" s="8" customFormat="1" x14ac:dyDescent="0.2">
      <c r="E269" s="85"/>
    </row>
    <row r="270" spans="5:5" s="8" customFormat="1" x14ac:dyDescent="0.2">
      <c r="E270" s="85"/>
    </row>
    <row r="271" spans="5:5" s="8" customFormat="1" x14ac:dyDescent="0.2">
      <c r="E271" s="85"/>
    </row>
    <row r="272" spans="5:5" s="8" customFormat="1" x14ac:dyDescent="0.2">
      <c r="E272" s="85"/>
    </row>
    <row r="273" spans="5:5" s="8" customFormat="1" x14ac:dyDescent="0.2">
      <c r="E273" s="85"/>
    </row>
    <row r="274" spans="5:5" s="8" customFormat="1" x14ac:dyDescent="0.2">
      <c r="E274" s="85"/>
    </row>
    <row r="275" spans="5:5" s="8" customFormat="1" x14ac:dyDescent="0.2">
      <c r="E275" s="85"/>
    </row>
    <row r="276" spans="5:5" s="8" customFormat="1" x14ac:dyDescent="0.2">
      <c r="E276" s="85"/>
    </row>
    <row r="277" spans="5:5" s="8" customFormat="1" x14ac:dyDescent="0.2">
      <c r="E277" s="85"/>
    </row>
    <row r="278" spans="5:5" s="8" customFormat="1" x14ac:dyDescent="0.2">
      <c r="E278" s="85"/>
    </row>
    <row r="279" spans="5:5" s="8" customFormat="1" x14ac:dyDescent="0.2">
      <c r="E279" s="85"/>
    </row>
    <row r="280" spans="5:5" s="8" customFormat="1" x14ac:dyDescent="0.2">
      <c r="E280" s="85"/>
    </row>
    <row r="281" spans="5:5" s="8" customFormat="1" x14ac:dyDescent="0.2">
      <c r="E281" s="85"/>
    </row>
    <row r="282" spans="5:5" s="8" customFormat="1" x14ac:dyDescent="0.2">
      <c r="E282" s="85"/>
    </row>
    <row r="283" spans="5:5" s="8" customFormat="1" x14ac:dyDescent="0.2">
      <c r="E283" s="85"/>
    </row>
    <row r="284" spans="5:5" s="8" customFormat="1" x14ac:dyDescent="0.2">
      <c r="E284" s="85"/>
    </row>
    <row r="285" spans="5:5" s="8" customFormat="1" x14ac:dyDescent="0.2">
      <c r="E285" s="85"/>
    </row>
    <row r="286" spans="5:5" s="8" customFormat="1" x14ac:dyDescent="0.2">
      <c r="E286" s="85"/>
    </row>
    <row r="287" spans="5:5" s="8" customFormat="1" x14ac:dyDescent="0.2">
      <c r="E287" s="85"/>
    </row>
    <row r="288" spans="5:5" s="8" customFormat="1" x14ac:dyDescent="0.2">
      <c r="E288" s="85"/>
    </row>
    <row r="289" spans="5:5" s="8" customFormat="1" x14ac:dyDescent="0.2">
      <c r="E289" s="85"/>
    </row>
    <row r="290" spans="5:5" s="8" customFormat="1" x14ac:dyDescent="0.2">
      <c r="E290" s="85"/>
    </row>
    <row r="291" spans="5:5" s="8" customFormat="1" x14ac:dyDescent="0.2">
      <c r="E291" s="85"/>
    </row>
    <row r="292" spans="5:5" s="8" customFormat="1" x14ac:dyDescent="0.2">
      <c r="E292" s="85"/>
    </row>
    <row r="293" spans="5:5" s="8" customFormat="1" x14ac:dyDescent="0.2">
      <c r="E293" s="85"/>
    </row>
    <row r="294" spans="5:5" s="8" customFormat="1" x14ac:dyDescent="0.2">
      <c r="E294" s="85"/>
    </row>
    <row r="295" spans="5:5" s="8" customFormat="1" x14ac:dyDescent="0.2">
      <c r="E295" s="85"/>
    </row>
    <row r="296" spans="5:5" s="8" customFormat="1" x14ac:dyDescent="0.2">
      <c r="E296" s="85"/>
    </row>
    <row r="297" spans="5:5" s="8" customFormat="1" x14ac:dyDescent="0.2">
      <c r="E297" s="85"/>
    </row>
    <row r="298" spans="5:5" s="8" customFormat="1" x14ac:dyDescent="0.2">
      <c r="E298" s="85"/>
    </row>
    <row r="299" spans="5:5" s="8" customFormat="1" x14ac:dyDescent="0.2">
      <c r="E299" s="85"/>
    </row>
    <row r="300" spans="5:5" s="8" customFormat="1" x14ac:dyDescent="0.2">
      <c r="E300" s="85"/>
    </row>
    <row r="301" spans="5:5" s="8" customFormat="1" x14ac:dyDescent="0.2">
      <c r="E301" s="85"/>
    </row>
    <row r="302" spans="5:5" s="8" customFormat="1" x14ac:dyDescent="0.2">
      <c r="E302" s="85"/>
    </row>
    <row r="303" spans="5:5" s="8" customFormat="1" x14ac:dyDescent="0.2">
      <c r="E303" s="85"/>
    </row>
    <row r="304" spans="5:5" s="8" customFormat="1" x14ac:dyDescent="0.2">
      <c r="E304" s="85"/>
    </row>
    <row r="305" spans="5:5" s="8" customFormat="1" x14ac:dyDescent="0.2">
      <c r="E305" s="85"/>
    </row>
    <row r="306" spans="5:5" s="8" customFormat="1" x14ac:dyDescent="0.2">
      <c r="E306" s="85"/>
    </row>
    <row r="307" spans="5:5" s="8" customFormat="1" x14ac:dyDescent="0.2">
      <c r="E307" s="85"/>
    </row>
    <row r="308" spans="5:5" s="8" customFormat="1" x14ac:dyDescent="0.2">
      <c r="E308" s="85"/>
    </row>
    <row r="309" spans="5:5" s="8" customFormat="1" x14ac:dyDescent="0.2">
      <c r="E309" s="85"/>
    </row>
    <row r="310" spans="5:5" s="8" customFormat="1" x14ac:dyDescent="0.2">
      <c r="E310" s="85"/>
    </row>
    <row r="311" spans="5:5" s="8" customFormat="1" x14ac:dyDescent="0.2">
      <c r="E311" s="85"/>
    </row>
    <row r="312" spans="5:5" s="8" customFormat="1" x14ac:dyDescent="0.2">
      <c r="E312" s="85"/>
    </row>
    <row r="313" spans="5:5" s="8" customFormat="1" x14ac:dyDescent="0.2">
      <c r="E313" s="85"/>
    </row>
    <row r="314" spans="5:5" s="8" customFormat="1" x14ac:dyDescent="0.2">
      <c r="E314" s="85"/>
    </row>
    <row r="315" spans="5:5" s="8" customFormat="1" x14ac:dyDescent="0.2">
      <c r="E315" s="85"/>
    </row>
    <row r="316" spans="5:5" s="8" customFormat="1" x14ac:dyDescent="0.2">
      <c r="E316" s="85"/>
    </row>
    <row r="317" spans="5:5" s="8" customFormat="1" x14ac:dyDescent="0.2">
      <c r="E317" s="85"/>
    </row>
    <row r="318" spans="5:5" s="8" customFormat="1" x14ac:dyDescent="0.2">
      <c r="E318" s="85"/>
    </row>
    <row r="319" spans="5:5" s="8" customFormat="1" x14ac:dyDescent="0.2">
      <c r="E319" s="85"/>
    </row>
    <row r="320" spans="5:5" s="8" customFormat="1" x14ac:dyDescent="0.2">
      <c r="E320" s="85"/>
    </row>
    <row r="321" spans="5:5" s="8" customFormat="1" x14ac:dyDescent="0.2">
      <c r="E321" s="85"/>
    </row>
    <row r="322" spans="5:5" s="8" customFormat="1" x14ac:dyDescent="0.2">
      <c r="E322" s="85"/>
    </row>
    <row r="323" spans="5:5" s="8" customFormat="1" x14ac:dyDescent="0.2">
      <c r="E323" s="85"/>
    </row>
    <row r="324" spans="5:5" s="8" customFormat="1" x14ac:dyDescent="0.2">
      <c r="E324" s="85"/>
    </row>
    <row r="325" spans="5:5" s="8" customFormat="1" x14ac:dyDescent="0.2">
      <c r="E325" s="85"/>
    </row>
    <row r="326" spans="5:5" s="8" customFormat="1" x14ac:dyDescent="0.2">
      <c r="E326" s="85"/>
    </row>
    <row r="327" spans="5:5" s="8" customFormat="1" x14ac:dyDescent="0.2">
      <c r="E327" s="85"/>
    </row>
    <row r="328" spans="5:5" s="8" customFormat="1" x14ac:dyDescent="0.2">
      <c r="E328" s="85"/>
    </row>
    <row r="329" spans="5:5" s="8" customFormat="1" x14ac:dyDescent="0.2">
      <c r="E329" s="85"/>
    </row>
    <row r="330" spans="5:5" s="8" customFormat="1" x14ac:dyDescent="0.2">
      <c r="E330" s="85"/>
    </row>
    <row r="331" spans="5:5" s="8" customFormat="1" x14ac:dyDescent="0.2">
      <c r="E331" s="85"/>
    </row>
    <row r="332" spans="5:5" s="8" customFormat="1" x14ac:dyDescent="0.2">
      <c r="E332" s="85"/>
    </row>
    <row r="333" spans="5:5" s="8" customFormat="1" x14ac:dyDescent="0.2">
      <c r="E333" s="85"/>
    </row>
    <row r="334" spans="5:5" s="8" customFormat="1" x14ac:dyDescent="0.2">
      <c r="E334" s="85"/>
    </row>
    <row r="335" spans="5:5" s="8" customFormat="1" x14ac:dyDescent="0.2">
      <c r="E335" s="85"/>
    </row>
    <row r="336" spans="5:5" s="8" customFormat="1" x14ac:dyDescent="0.2">
      <c r="E336" s="85"/>
    </row>
    <row r="337" spans="5:5" s="8" customFormat="1" x14ac:dyDescent="0.2">
      <c r="E337" s="85"/>
    </row>
    <row r="338" spans="5:5" s="8" customFormat="1" x14ac:dyDescent="0.2">
      <c r="E338" s="85"/>
    </row>
    <row r="339" spans="5:5" s="8" customFormat="1" x14ac:dyDescent="0.2">
      <c r="E339" s="85"/>
    </row>
    <row r="340" spans="5:5" s="8" customFormat="1" x14ac:dyDescent="0.2">
      <c r="E340" s="85"/>
    </row>
    <row r="341" spans="5:5" s="8" customFormat="1" x14ac:dyDescent="0.2">
      <c r="E341" s="85"/>
    </row>
    <row r="342" spans="5:5" s="8" customFormat="1" x14ac:dyDescent="0.2">
      <c r="E342" s="85"/>
    </row>
    <row r="343" spans="5:5" s="8" customFormat="1" x14ac:dyDescent="0.2">
      <c r="E343" s="85"/>
    </row>
    <row r="344" spans="5:5" s="8" customFormat="1" x14ac:dyDescent="0.2">
      <c r="E344" s="85"/>
    </row>
    <row r="345" spans="5:5" s="8" customFormat="1" x14ac:dyDescent="0.2">
      <c r="E345" s="85"/>
    </row>
    <row r="346" spans="5:5" s="8" customFormat="1" x14ac:dyDescent="0.2">
      <c r="E346" s="85"/>
    </row>
    <row r="347" spans="5:5" s="8" customFormat="1" x14ac:dyDescent="0.2">
      <c r="E347" s="85"/>
    </row>
    <row r="348" spans="5:5" s="8" customFormat="1" x14ac:dyDescent="0.2">
      <c r="E348" s="85"/>
    </row>
    <row r="349" spans="5:5" s="8" customFormat="1" x14ac:dyDescent="0.2">
      <c r="E349" s="85"/>
    </row>
    <row r="350" spans="5:5" s="8" customFormat="1" x14ac:dyDescent="0.2">
      <c r="E350" s="85"/>
    </row>
    <row r="351" spans="5:5" s="8" customFormat="1" x14ac:dyDescent="0.2">
      <c r="E351" s="85"/>
    </row>
    <row r="352" spans="5:5" s="8" customFormat="1" x14ac:dyDescent="0.2">
      <c r="E352" s="85"/>
    </row>
    <row r="353" spans="5:5" s="8" customFormat="1" x14ac:dyDescent="0.2">
      <c r="E353" s="85"/>
    </row>
    <row r="354" spans="5:5" s="8" customFormat="1" x14ac:dyDescent="0.2">
      <c r="E354" s="85"/>
    </row>
    <row r="355" spans="5:5" s="8" customFormat="1" x14ac:dyDescent="0.2">
      <c r="E355" s="85"/>
    </row>
    <row r="356" spans="5:5" s="8" customFormat="1" x14ac:dyDescent="0.2">
      <c r="E356" s="85"/>
    </row>
    <row r="357" spans="5:5" s="8" customFormat="1" x14ac:dyDescent="0.2">
      <c r="E357" s="85"/>
    </row>
    <row r="358" spans="5:5" s="8" customFormat="1" x14ac:dyDescent="0.2">
      <c r="E358" s="85"/>
    </row>
    <row r="359" spans="5:5" s="8" customFormat="1" x14ac:dyDescent="0.2">
      <c r="E359" s="85"/>
    </row>
    <row r="360" spans="5:5" s="8" customFormat="1" x14ac:dyDescent="0.2">
      <c r="E360" s="85"/>
    </row>
    <row r="361" spans="5:5" s="8" customFormat="1" x14ac:dyDescent="0.2">
      <c r="E361" s="85"/>
    </row>
    <row r="362" spans="5:5" s="8" customFormat="1" x14ac:dyDescent="0.2">
      <c r="E362" s="85"/>
    </row>
    <row r="363" spans="5:5" s="8" customFormat="1" x14ac:dyDescent="0.2">
      <c r="E363" s="85"/>
    </row>
    <row r="364" spans="5:5" s="8" customFormat="1" x14ac:dyDescent="0.2">
      <c r="E364" s="85"/>
    </row>
    <row r="365" spans="5:5" s="8" customFormat="1" x14ac:dyDescent="0.2">
      <c r="E365" s="85"/>
    </row>
    <row r="366" spans="5:5" s="8" customFormat="1" x14ac:dyDescent="0.2">
      <c r="E366" s="85"/>
    </row>
    <row r="367" spans="5:5" s="8" customFormat="1" x14ac:dyDescent="0.2">
      <c r="E367" s="85"/>
    </row>
    <row r="368" spans="5:5" s="8" customFormat="1" x14ac:dyDescent="0.2">
      <c r="E368" s="85"/>
    </row>
    <row r="369" spans="5:5" s="8" customFormat="1" x14ac:dyDescent="0.2">
      <c r="E369" s="85"/>
    </row>
    <row r="370" spans="5:5" s="8" customFormat="1" x14ac:dyDescent="0.2">
      <c r="E370" s="85"/>
    </row>
    <row r="371" spans="5:5" s="8" customFormat="1" x14ac:dyDescent="0.2">
      <c r="E371" s="85"/>
    </row>
    <row r="372" spans="5:5" s="8" customFormat="1" x14ac:dyDescent="0.2">
      <c r="E372" s="85"/>
    </row>
    <row r="373" spans="5:5" s="8" customFormat="1" x14ac:dyDescent="0.2">
      <c r="E373" s="85"/>
    </row>
    <row r="374" spans="5:5" s="8" customFormat="1" x14ac:dyDescent="0.2">
      <c r="E374" s="85"/>
    </row>
    <row r="375" spans="5:5" s="8" customFormat="1" x14ac:dyDescent="0.2">
      <c r="E375" s="85"/>
    </row>
    <row r="376" spans="5:5" s="8" customFormat="1" x14ac:dyDescent="0.2">
      <c r="E376" s="85"/>
    </row>
    <row r="377" spans="5:5" s="8" customFormat="1" x14ac:dyDescent="0.2">
      <c r="E377" s="85"/>
    </row>
    <row r="378" spans="5:5" s="8" customFormat="1" x14ac:dyDescent="0.2">
      <c r="E378" s="85"/>
    </row>
    <row r="379" spans="5:5" s="8" customFormat="1" x14ac:dyDescent="0.2">
      <c r="E379" s="85"/>
    </row>
    <row r="380" spans="5:5" s="8" customFormat="1" x14ac:dyDescent="0.2">
      <c r="E380" s="85"/>
    </row>
    <row r="381" spans="5:5" s="8" customFormat="1" x14ac:dyDescent="0.2">
      <c r="E381" s="85"/>
    </row>
    <row r="382" spans="5:5" s="8" customFormat="1" x14ac:dyDescent="0.2">
      <c r="E382" s="85"/>
    </row>
    <row r="383" spans="5:5" s="8" customFormat="1" x14ac:dyDescent="0.2">
      <c r="E383" s="85"/>
    </row>
    <row r="384" spans="5:5" s="8" customFormat="1" x14ac:dyDescent="0.2">
      <c r="E384" s="85"/>
    </row>
    <row r="385" spans="5:5" s="8" customFormat="1" x14ac:dyDescent="0.2">
      <c r="E385" s="85"/>
    </row>
    <row r="386" spans="5:5" s="8" customFormat="1" x14ac:dyDescent="0.2">
      <c r="E386" s="85"/>
    </row>
    <row r="387" spans="5:5" s="8" customFormat="1" x14ac:dyDescent="0.2">
      <c r="E387" s="85"/>
    </row>
    <row r="388" spans="5:5" s="8" customFormat="1" x14ac:dyDescent="0.2">
      <c r="E388" s="85"/>
    </row>
    <row r="389" spans="5:5" s="8" customFormat="1" x14ac:dyDescent="0.2">
      <c r="E389" s="85"/>
    </row>
    <row r="390" spans="5:5" s="8" customFormat="1" x14ac:dyDescent="0.2">
      <c r="E390" s="85"/>
    </row>
    <row r="391" spans="5:5" s="8" customFormat="1" x14ac:dyDescent="0.2">
      <c r="E391" s="85"/>
    </row>
    <row r="392" spans="5:5" s="8" customFormat="1" x14ac:dyDescent="0.2">
      <c r="E392" s="85"/>
    </row>
    <row r="393" spans="5:5" s="8" customFormat="1" x14ac:dyDescent="0.2">
      <c r="E393" s="85"/>
    </row>
    <row r="394" spans="5:5" s="8" customFormat="1" x14ac:dyDescent="0.2">
      <c r="E394" s="85"/>
    </row>
    <row r="395" spans="5:5" s="8" customFormat="1" x14ac:dyDescent="0.2">
      <c r="E395" s="85"/>
    </row>
    <row r="396" spans="5:5" s="8" customFormat="1" x14ac:dyDescent="0.2">
      <c r="E396" s="85"/>
    </row>
    <row r="397" spans="5:5" s="8" customFormat="1" x14ac:dyDescent="0.2">
      <c r="E397" s="85"/>
    </row>
    <row r="398" spans="5:5" s="8" customFormat="1" x14ac:dyDescent="0.2">
      <c r="E398" s="85"/>
    </row>
    <row r="399" spans="5:5" s="8" customFormat="1" x14ac:dyDescent="0.2">
      <c r="E399" s="85"/>
    </row>
    <row r="400" spans="5:5" s="8" customFormat="1" x14ac:dyDescent="0.2">
      <c r="E400" s="85"/>
    </row>
    <row r="401" spans="5:5" s="8" customFormat="1" x14ac:dyDescent="0.2">
      <c r="E401" s="85"/>
    </row>
    <row r="402" spans="5:5" s="8" customFormat="1" x14ac:dyDescent="0.2">
      <c r="E402" s="85"/>
    </row>
    <row r="403" spans="5:5" s="8" customFormat="1" x14ac:dyDescent="0.2">
      <c r="E403" s="85"/>
    </row>
    <row r="404" spans="5:5" s="8" customFormat="1" x14ac:dyDescent="0.2">
      <c r="E404" s="85"/>
    </row>
    <row r="405" spans="5:5" s="8" customFormat="1" x14ac:dyDescent="0.2">
      <c r="E405" s="85"/>
    </row>
    <row r="406" spans="5:5" s="8" customFormat="1" x14ac:dyDescent="0.2">
      <c r="E406" s="85"/>
    </row>
    <row r="407" spans="5:5" s="8" customFormat="1" x14ac:dyDescent="0.2">
      <c r="E407" s="85"/>
    </row>
    <row r="408" spans="5:5" s="8" customFormat="1" x14ac:dyDescent="0.2">
      <c r="E408" s="85"/>
    </row>
    <row r="409" spans="5:5" s="8" customFormat="1" x14ac:dyDescent="0.2">
      <c r="E409" s="85"/>
    </row>
    <row r="410" spans="5:5" s="8" customFormat="1" x14ac:dyDescent="0.2">
      <c r="E410" s="85"/>
    </row>
    <row r="411" spans="5:5" s="8" customFormat="1" x14ac:dyDescent="0.2">
      <c r="E411" s="85"/>
    </row>
    <row r="412" spans="5:5" s="8" customFormat="1" x14ac:dyDescent="0.2">
      <c r="E412" s="85"/>
    </row>
    <row r="413" spans="5:5" s="8" customFormat="1" x14ac:dyDescent="0.2">
      <c r="E413" s="85"/>
    </row>
    <row r="414" spans="5:5" s="8" customFormat="1" x14ac:dyDescent="0.2">
      <c r="E414" s="85"/>
    </row>
    <row r="415" spans="5:5" s="8" customFormat="1" x14ac:dyDescent="0.2">
      <c r="E415" s="85"/>
    </row>
    <row r="416" spans="5:5" s="8" customFormat="1" x14ac:dyDescent="0.2">
      <c r="E416" s="85"/>
    </row>
    <row r="417" spans="5:5" s="8" customFormat="1" x14ac:dyDescent="0.2">
      <c r="E417" s="85"/>
    </row>
    <row r="418" spans="5:5" s="8" customFormat="1" x14ac:dyDescent="0.2">
      <c r="E418" s="85"/>
    </row>
    <row r="419" spans="5:5" s="8" customFormat="1" x14ac:dyDescent="0.2">
      <c r="E419" s="85"/>
    </row>
    <row r="420" spans="5:5" s="8" customFormat="1" x14ac:dyDescent="0.2">
      <c r="E420" s="85"/>
    </row>
    <row r="421" spans="5:5" s="8" customFormat="1" x14ac:dyDescent="0.2">
      <c r="E421" s="85"/>
    </row>
    <row r="422" spans="5:5" s="8" customFormat="1" x14ac:dyDescent="0.2">
      <c r="E422" s="85"/>
    </row>
    <row r="423" spans="5:5" s="8" customFormat="1" x14ac:dyDescent="0.2">
      <c r="E423" s="85"/>
    </row>
    <row r="424" spans="5:5" s="8" customFormat="1" x14ac:dyDescent="0.2">
      <c r="E424" s="85"/>
    </row>
    <row r="425" spans="5:5" s="8" customFormat="1" x14ac:dyDescent="0.2">
      <c r="E425" s="85"/>
    </row>
    <row r="426" spans="5:5" s="8" customFormat="1" x14ac:dyDescent="0.2">
      <c r="E426" s="85"/>
    </row>
    <row r="427" spans="5:5" s="8" customFormat="1" x14ac:dyDescent="0.2">
      <c r="E427" s="85"/>
    </row>
    <row r="428" spans="5:5" s="8" customFormat="1" x14ac:dyDescent="0.2">
      <c r="E428" s="85"/>
    </row>
    <row r="429" spans="5:5" s="8" customFormat="1" x14ac:dyDescent="0.2">
      <c r="E429" s="85"/>
    </row>
    <row r="430" spans="5:5" s="8" customFormat="1" x14ac:dyDescent="0.2">
      <c r="E430" s="85"/>
    </row>
    <row r="431" spans="5:5" s="8" customFormat="1" x14ac:dyDescent="0.2">
      <c r="E431" s="85"/>
    </row>
    <row r="432" spans="5:5" s="8" customFormat="1" x14ac:dyDescent="0.2">
      <c r="E432" s="85"/>
    </row>
    <row r="433" spans="5:5" s="8" customFormat="1" x14ac:dyDescent="0.2">
      <c r="E433" s="85"/>
    </row>
    <row r="434" spans="5:5" s="8" customFormat="1" x14ac:dyDescent="0.2">
      <c r="E434" s="85"/>
    </row>
    <row r="435" spans="5:5" s="8" customFormat="1" x14ac:dyDescent="0.2">
      <c r="E435" s="85"/>
    </row>
    <row r="436" spans="5:5" s="8" customFormat="1" x14ac:dyDescent="0.2">
      <c r="E436" s="85"/>
    </row>
    <row r="437" spans="5:5" s="8" customFormat="1" x14ac:dyDescent="0.2">
      <c r="E437" s="85"/>
    </row>
    <row r="438" spans="5:5" s="8" customFormat="1" x14ac:dyDescent="0.2">
      <c r="E438" s="85"/>
    </row>
    <row r="439" spans="5:5" s="8" customFormat="1" x14ac:dyDescent="0.2">
      <c r="E439" s="85"/>
    </row>
    <row r="440" spans="5:5" s="8" customFormat="1" x14ac:dyDescent="0.2">
      <c r="E440" s="85"/>
    </row>
    <row r="441" spans="5:5" s="8" customFormat="1" x14ac:dyDescent="0.2">
      <c r="E441" s="85"/>
    </row>
    <row r="442" spans="5:5" s="8" customFormat="1" x14ac:dyDescent="0.2">
      <c r="E442" s="85"/>
    </row>
    <row r="443" spans="5:5" s="8" customFormat="1" x14ac:dyDescent="0.2">
      <c r="E443" s="85"/>
    </row>
    <row r="444" spans="5:5" s="8" customFormat="1" x14ac:dyDescent="0.2">
      <c r="E444" s="85"/>
    </row>
    <row r="445" spans="5:5" s="8" customFormat="1" x14ac:dyDescent="0.2">
      <c r="E445" s="85"/>
    </row>
    <row r="446" spans="5:5" s="8" customFormat="1" x14ac:dyDescent="0.2">
      <c r="E446" s="85"/>
    </row>
    <row r="447" spans="5:5" s="8" customFormat="1" x14ac:dyDescent="0.2">
      <c r="E447" s="85"/>
    </row>
    <row r="448" spans="5:5" s="8" customFormat="1" x14ac:dyDescent="0.2">
      <c r="E448" s="85"/>
    </row>
    <row r="449" spans="5:5" s="8" customFormat="1" x14ac:dyDescent="0.2">
      <c r="E449" s="85"/>
    </row>
    <row r="450" spans="5:5" s="8" customFormat="1" x14ac:dyDescent="0.2">
      <c r="E450" s="85"/>
    </row>
    <row r="451" spans="5:5" s="8" customFormat="1" x14ac:dyDescent="0.2">
      <c r="E451" s="85"/>
    </row>
    <row r="452" spans="5:5" s="8" customFormat="1" x14ac:dyDescent="0.2">
      <c r="E452" s="85"/>
    </row>
    <row r="453" spans="5:5" s="8" customFormat="1" x14ac:dyDescent="0.2">
      <c r="E453" s="85"/>
    </row>
    <row r="454" spans="5:5" s="8" customFormat="1" x14ac:dyDescent="0.2">
      <c r="E454" s="85"/>
    </row>
    <row r="455" spans="5:5" s="8" customFormat="1" x14ac:dyDescent="0.2">
      <c r="E455" s="85"/>
    </row>
    <row r="456" spans="5:5" s="8" customFormat="1" x14ac:dyDescent="0.2">
      <c r="E456" s="85"/>
    </row>
    <row r="457" spans="5:5" s="8" customFormat="1" x14ac:dyDescent="0.2">
      <c r="E457" s="85"/>
    </row>
    <row r="458" spans="5:5" s="8" customFormat="1" x14ac:dyDescent="0.2">
      <c r="E458" s="85"/>
    </row>
    <row r="459" spans="5:5" s="8" customFormat="1" x14ac:dyDescent="0.2">
      <c r="E459" s="85"/>
    </row>
    <row r="460" spans="5:5" s="8" customFormat="1" x14ac:dyDescent="0.2">
      <c r="E460" s="85"/>
    </row>
    <row r="461" spans="5:5" s="8" customFormat="1" x14ac:dyDescent="0.2">
      <c r="E461" s="85"/>
    </row>
    <row r="462" spans="5:5" s="8" customFormat="1" x14ac:dyDescent="0.2">
      <c r="E462" s="85"/>
    </row>
    <row r="463" spans="5:5" s="8" customFormat="1" x14ac:dyDescent="0.2">
      <c r="E463" s="85"/>
    </row>
    <row r="464" spans="5:5" s="8" customFormat="1" x14ac:dyDescent="0.2">
      <c r="E464" s="85"/>
    </row>
    <row r="465" spans="5:5" s="8" customFormat="1" x14ac:dyDescent="0.2">
      <c r="E465" s="85"/>
    </row>
    <row r="466" spans="5:5" s="8" customFormat="1" x14ac:dyDescent="0.2">
      <c r="E466" s="85"/>
    </row>
    <row r="467" spans="5:5" s="8" customFormat="1" x14ac:dyDescent="0.2">
      <c r="E467" s="85"/>
    </row>
    <row r="468" spans="5:5" s="8" customFormat="1" x14ac:dyDescent="0.2">
      <c r="E468" s="85"/>
    </row>
    <row r="469" spans="5:5" s="8" customFormat="1" x14ac:dyDescent="0.2">
      <c r="E469" s="85"/>
    </row>
    <row r="470" spans="5:5" s="8" customFormat="1" x14ac:dyDescent="0.2">
      <c r="E470" s="85"/>
    </row>
    <row r="471" spans="5:5" s="8" customFormat="1" x14ac:dyDescent="0.2">
      <c r="E471" s="85"/>
    </row>
    <row r="472" spans="5:5" s="8" customFormat="1" x14ac:dyDescent="0.2">
      <c r="E472" s="85"/>
    </row>
    <row r="473" spans="5:5" s="8" customFormat="1" x14ac:dyDescent="0.2">
      <c r="E473" s="85"/>
    </row>
    <row r="474" spans="5:5" s="8" customFormat="1" x14ac:dyDescent="0.2">
      <c r="E474" s="85"/>
    </row>
    <row r="475" spans="5:5" s="8" customFormat="1" x14ac:dyDescent="0.2">
      <c r="E475" s="85"/>
    </row>
    <row r="476" spans="5:5" s="8" customFormat="1" x14ac:dyDescent="0.2">
      <c r="E476" s="85"/>
    </row>
    <row r="477" spans="5:5" s="8" customFormat="1" x14ac:dyDescent="0.2">
      <c r="E477" s="85"/>
    </row>
    <row r="478" spans="5:5" s="8" customFormat="1" x14ac:dyDescent="0.2">
      <c r="E478" s="85"/>
    </row>
    <row r="479" spans="5:5" s="8" customFormat="1" x14ac:dyDescent="0.2">
      <c r="E479" s="85"/>
    </row>
    <row r="480" spans="5:5" s="8" customFormat="1" x14ac:dyDescent="0.2">
      <c r="E480" s="85"/>
    </row>
    <row r="481" spans="5:5" s="8" customFormat="1" x14ac:dyDescent="0.2">
      <c r="E481" s="85"/>
    </row>
    <row r="482" spans="5:5" s="8" customFormat="1" x14ac:dyDescent="0.2">
      <c r="E482" s="85"/>
    </row>
    <row r="483" spans="5:5" s="8" customFormat="1" x14ac:dyDescent="0.2">
      <c r="E483" s="85"/>
    </row>
    <row r="484" spans="5:5" s="8" customFormat="1" x14ac:dyDescent="0.2">
      <c r="E484" s="85"/>
    </row>
    <row r="485" spans="5:5" s="8" customFormat="1" x14ac:dyDescent="0.2">
      <c r="E485" s="85"/>
    </row>
    <row r="486" spans="5:5" s="8" customFormat="1" x14ac:dyDescent="0.2">
      <c r="E486" s="85"/>
    </row>
    <row r="487" spans="5:5" s="8" customFormat="1" x14ac:dyDescent="0.2">
      <c r="E487" s="85"/>
    </row>
    <row r="488" spans="5:5" s="8" customFormat="1" x14ac:dyDescent="0.2">
      <c r="E488" s="85"/>
    </row>
    <row r="489" spans="5:5" s="8" customFormat="1" x14ac:dyDescent="0.2">
      <c r="E489" s="85"/>
    </row>
    <row r="490" spans="5:5" s="8" customFormat="1" x14ac:dyDescent="0.2">
      <c r="E490" s="85"/>
    </row>
    <row r="491" spans="5:5" s="8" customFormat="1" x14ac:dyDescent="0.2">
      <c r="E491" s="85"/>
    </row>
    <row r="492" spans="5:5" s="8" customFormat="1" x14ac:dyDescent="0.2">
      <c r="E492" s="85"/>
    </row>
    <row r="493" spans="5:5" s="8" customFormat="1" x14ac:dyDescent="0.2">
      <c r="E493" s="85"/>
    </row>
    <row r="494" spans="5:5" s="8" customFormat="1" x14ac:dyDescent="0.2">
      <c r="E494" s="85"/>
    </row>
    <row r="495" spans="5:5" s="8" customFormat="1" x14ac:dyDescent="0.2">
      <c r="E495" s="85"/>
    </row>
    <row r="496" spans="5:5" s="8" customFormat="1" x14ac:dyDescent="0.2">
      <c r="E496" s="85"/>
    </row>
    <row r="497" spans="5:5" s="8" customFormat="1" x14ac:dyDescent="0.2">
      <c r="E497" s="85"/>
    </row>
    <row r="498" spans="5:5" s="8" customFormat="1" x14ac:dyDescent="0.2">
      <c r="E498" s="85"/>
    </row>
    <row r="499" spans="5:5" s="8" customFormat="1" x14ac:dyDescent="0.2">
      <c r="E499" s="85"/>
    </row>
    <row r="500" spans="5:5" s="8" customFormat="1" x14ac:dyDescent="0.2">
      <c r="E500" s="85"/>
    </row>
    <row r="501" spans="5:5" s="8" customFormat="1" x14ac:dyDescent="0.2">
      <c r="E501" s="85"/>
    </row>
    <row r="502" spans="5:5" s="8" customFormat="1" x14ac:dyDescent="0.2">
      <c r="E502" s="85"/>
    </row>
    <row r="503" spans="5:5" s="8" customFormat="1" x14ac:dyDescent="0.2">
      <c r="E503" s="85"/>
    </row>
    <row r="504" spans="5:5" s="8" customFormat="1" x14ac:dyDescent="0.2">
      <c r="E504" s="85"/>
    </row>
    <row r="505" spans="5:5" s="8" customFormat="1" x14ac:dyDescent="0.2">
      <c r="E505" s="85"/>
    </row>
    <row r="506" spans="5:5" s="8" customFormat="1" x14ac:dyDescent="0.2">
      <c r="E506" s="85"/>
    </row>
    <row r="507" spans="5:5" s="8" customFormat="1" x14ac:dyDescent="0.2">
      <c r="E507" s="85"/>
    </row>
    <row r="508" spans="5:5" s="8" customFormat="1" x14ac:dyDescent="0.2">
      <c r="E508" s="85"/>
    </row>
    <row r="509" spans="5:5" s="8" customFormat="1" x14ac:dyDescent="0.2">
      <c r="E509" s="85"/>
    </row>
    <row r="510" spans="5:5" s="8" customFormat="1" x14ac:dyDescent="0.2">
      <c r="E510" s="85"/>
    </row>
    <row r="511" spans="5:5" s="8" customFormat="1" x14ac:dyDescent="0.2">
      <c r="E511" s="85"/>
    </row>
    <row r="512" spans="5:5" s="8" customFormat="1" x14ac:dyDescent="0.2">
      <c r="E512" s="85"/>
    </row>
    <row r="513" spans="5:5" s="8" customFormat="1" x14ac:dyDescent="0.2">
      <c r="E513" s="85"/>
    </row>
    <row r="514" spans="5:5" s="8" customFormat="1" x14ac:dyDescent="0.2">
      <c r="E514" s="85"/>
    </row>
    <row r="515" spans="5:5" s="8" customFormat="1" x14ac:dyDescent="0.2">
      <c r="E515" s="85"/>
    </row>
    <row r="516" spans="5:5" s="8" customFormat="1" x14ac:dyDescent="0.2">
      <c r="E516" s="85"/>
    </row>
    <row r="517" spans="5:5" s="8" customFormat="1" x14ac:dyDescent="0.2">
      <c r="E517" s="85"/>
    </row>
    <row r="518" spans="5:5" s="8" customFormat="1" x14ac:dyDescent="0.2">
      <c r="E518" s="85"/>
    </row>
    <row r="519" spans="5:5" s="8" customFormat="1" x14ac:dyDescent="0.2">
      <c r="E519" s="85"/>
    </row>
    <row r="520" spans="5:5" s="8" customFormat="1" x14ac:dyDescent="0.2">
      <c r="E520" s="85"/>
    </row>
    <row r="521" spans="5:5" s="8" customFormat="1" x14ac:dyDescent="0.2">
      <c r="E521" s="85"/>
    </row>
    <row r="522" spans="5:5" s="8" customFormat="1" x14ac:dyDescent="0.2">
      <c r="E522" s="85"/>
    </row>
    <row r="523" spans="5:5" s="8" customFormat="1" x14ac:dyDescent="0.2">
      <c r="E523" s="85"/>
    </row>
    <row r="524" spans="5:5" s="8" customFormat="1" x14ac:dyDescent="0.2">
      <c r="E524" s="85"/>
    </row>
    <row r="525" spans="5:5" s="8" customFormat="1" x14ac:dyDescent="0.2">
      <c r="E525" s="85"/>
    </row>
    <row r="526" spans="5:5" s="8" customFormat="1" x14ac:dyDescent="0.2">
      <c r="E526" s="85"/>
    </row>
    <row r="527" spans="5:5" s="8" customFormat="1" x14ac:dyDescent="0.2">
      <c r="E527" s="85"/>
    </row>
    <row r="528" spans="5:5" s="8" customFormat="1" x14ac:dyDescent="0.2">
      <c r="E528" s="85"/>
    </row>
    <row r="529" spans="5:5" s="8" customFormat="1" x14ac:dyDescent="0.2">
      <c r="E529" s="85"/>
    </row>
    <row r="530" spans="5:5" s="8" customFormat="1" x14ac:dyDescent="0.2">
      <c r="E530" s="85"/>
    </row>
    <row r="531" spans="5:5" s="8" customFormat="1" x14ac:dyDescent="0.2">
      <c r="E531" s="85"/>
    </row>
    <row r="532" spans="5:5" s="8" customFormat="1" x14ac:dyDescent="0.2">
      <c r="E532" s="85"/>
    </row>
    <row r="533" spans="5:5" s="8" customFormat="1" x14ac:dyDescent="0.2">
      <c r="E533" s="85"/>
    </row>
    <row r="534" spans="5:5" s="8" customFormat="1" x14ac:dyDescent="0.2">
      <c r="E534" s="85"/>
    </row>
    <row r="535" spans="5:5" s="8" customFormat="1" x14ac:dyDescent="0.2">
      <c r="E535" s="85"/>
    </row>
    <row r="536" spans="5:5" s="8" customFormat="1" x14ac:dyDescent="0.2">
      <c r="E536" s="85"/>
    </row>
    <row r="537" spans="5:5" s="8" customFormat="1" x14ac:dyDescent="0.2">
      <c r="E537" s="85"/>
    </row>
    <row r="538" spans="5:5" s="8" customFormat="1" x14ac:dyDescent="0.2">
      <c r="E538" s="85"/>
    </row>
    <row r="539" spans="5:5" s="8" customFormat="1" x14ac:dyDescent="0.2">
      <c r="E539" s="85"/>
    </row>
    <row r="540" spans="5:5" s="8" customFormat="1" x14ac:dyDescent="0.2">
      <c r="E540" s="85"/>
    </row>
    <row r="541" spans="5:5" s="8" customFormat="1" x14ac:dyDescent="0.2">
      <c r="E541" s="85"/>
    </row>
    <row r="542" spans="5:5" s="8" customFormat="1" x14ac:dyDescent="0.2">
      <c r="E542" s="85"/>
    </row>
    <row r="543" spans="5:5" s="8" customFormat="1" x14ac:dyDescent="0.2">
      <c r="E543" s="85"/>
    </row>
    <row r="544" spans="5:5" s="8" customFormat="1" x14ac:dyDescent="0.2">
      <c r="E544" s="85"/>
    </row>
    <row r="545" spans="5:5" s="8" customFormat="1" x14ac:dyDescent="0.2">
      <c r="E545" s="85"/>
    </row>
    <row r="546" spans="5:5" s="8" customFormat="1" x14ac:dyDescent="0.2">
      <c r="E546" s="85"/>
    </row>
    <row r="547" spans="5:5" s="8" customFormat="1" x14ac:dyDescent="0.2">
      <c r="E547" s="85"/>
    </row>
    <row r="548" spans="5:5" s="8" customFormat="1" x14ac:dyDescent="0.2">
      <c r="E548" s="85"/>
    </row>
    <row r="549" spans="5:5" s="8" customFormat="1" x14ac:dyDescent="0.2">
      <c r="E549" s="85"/>
    </row>
    <row r="550" spans="5:5" s="8" customFormat="1" x14ac:dyDescent="0.2">
      <c r="E550" s="85"/>
    </row>
    <row r="551" spans="5:5" s="8" customFormat="1" x14ac:dyDescent="0.2">
      <c r="E551" s="85"/>
    </row>
    <row r="552" spans="5:5" s="8" customFormat="1" x14ac:dyDescent="0.2">
      <c r="E552" s="85"/>
    </row>
    <row r="553" spans="5:5" s="8" customFormat="1" x14ac:dyDescent="0.2">
      <c r="E553" s="85"/>
    </row>
    <row r="554" spans="5:5" s="8" customFormat="1" x14ac:dyDescent="0.2">
      <c r="E554" s="85"/>
    </row>
    <row r="555" spans="5:5" s="8" customFormat="1" x14ac:dyDescent="0.2">
      <c r="E555" s="85"/>
    </row>
    <row r="556" spans="5:5" s="8" customFormat="1" x14ac:dyDescent="0.2">
      <c r="E556" s="85"/>
    </row>
    <row r="557" spans="5:5" s="8" customFormat="1" x14ac:dyDescent="0.2">
      <c r="E557" s="85"/>
    </row>
    <row r="558" spans="5:5" s="8" customFormat="1" x14ac:dyDescent="0.2">
      <c r="E558" s="85"/>
    </row>
    <row r="559" spans="5:5" s="8" customFormat="1" x14ac:dyDescent="0.2">
      <c r="E559" s="85"/>
    </row>
    <row r="560" spans="5:5" s="8" customFormat="1" x14ac:dyDescent="0.2">
      <c r="E560" s="85"/>
    </row>
    <row r="561" spans="5:5" s="8" customFormat="1" x14ac:dyDescent="0.2">
      <c r="E561" s="85"/>
    </row>
    <row r="562" spans="5:5" s="8" customFormat="1" x14ac:dyDescent="0.2">
      <c r="E562" s="85"/>
    </row>
    <row r="563" spans="5:5" s="8" customFormat="1" x14ac:dyDescent="0.2">
      <c r="E563" s="85"/>
    </row>
    <row r="564" spans="5:5" s="8" customFormat="1" x14ac:dyDescent="0.2">
      <c r="E564" s="85"/>
    </row>
    <row r="565" spans="5:5" s="8" customFormat="1" x14ac:dyDescent="0.2">
      <c r="E565" s="85"/>
    </row>
    <row r="566" spans="5:5" s="8" customFormat="1" x14ac:dyDescent="0.2">
      <c r="E566" s="85"/>
    </row>
    <row r="567" spans="5:5" s="8" customFormat="1" x14ac:dyDescent="0.2">
      <c r="E567" s="85"/>
    </row>
    <row r="568" spans="5:5" s="8" customFormat="1" x14ac:dyDescent="0.2">
      <c r="E568" s="85"/>
    </row>
    <row r="569" spans="5:5" s="8" customFormat="1" x14ac:dyDescent="0.2">
      <c r="E569" s="85"/>
    </row>
    <row r="570" spans="5:5" s="8" customFormat="1" x14ac:dyDescent="0.2">
      <c r="E570" s="85"/>
    </row>
    <row r="571" spans="5:5" s="8" customFormat="1" x14ac:dyDescent="0.2">
      <c r="E571" s="85"/>
    </row>
    <row r="572" spans="5:5" s="8" customFormat="1" x14ac:dyDescent="0.2">
      <c r="E572" s="85"/>
    </row>
    <row r="573" spans="5:5" s="8" customFormat="1" x14ac:dyDescent="0.2">
      <c r="E573" s="85"/>
    </row>
    <row r="574" spans="5:5" s="8" customFormat="1" x14ac:dyDescent="0.2">
      <c r="E574" s="85"/>
    </row>
    <row r="575" spans="5:5" s="8" customFormat="1" x14ac:dyDescent="0.2">
      <c r="E575" s="85"/>
    </row>
    <row r="576" spans="5:5" s="8" customFormat="1" x14ac:dyDescent="0.2">
      <c r="E576" s="85"/>
    </row>
    <row r="577" spans="5:5" s="8" customFormat="1" x14ac:dyDescent="0.2">
      <c r="E577" s="85"/>
    </row>
    <row r="578" spans="5:5" s="8" customFormat="1" x14ac:dyDescent="0.2">
      <c r="E578" s="85"/>
    </row>
    <row r="579" spans="5:5" s="8" customFormat="1" x14ac:dyDescent="0.2">
      <c r="E579" s="85"/>
    </row>
    <row r="580" spans="5:5" s="8" customFormat="1" x14ac:dyDescent="0.2">
      <c r="E580" s="85"/>
    </row>
    <row r="581" spans="5:5" s="8" customFormat="1" x14ac:dyDescent="0.2">
      <c r="E581" s="85"/>
    </row>
    <row r="582" spans="5:5" s="8" customFormat="1" x14ac:dyDescent="0.2">
      <c r="E582" s="85"/>
    </row>
    <row r="583" spans="5:5" s="8" customFormat="1" x14ac:dyDescent="0.2">
      <c r="E583" s="85"/>
    </row>
    <row r="584" spans="5:5" s="8" customFormat="1" x14ac:dyDescent="0.2">
      <c r="E584" s="85"/>
    </row>
    <row r="585" spans="5:5" s="8" customFormat="1" x14ac:dyDescent="0.2">
      <c r="E585" s="85"/>
    </row>
    <row r="586" spans="5:5" s="8" customFormat="1" x14ac:dyDescent="0.2">
      <c r="E586" s="85"/>
    </row>
    <row r="587" spans="5:5" s="8" customFormat="1" x14ac:dyDescent="0.2">
      <c r="E587" s="85"/>
    </row>
    <row r="588" spans="5:5" s="8" customFormat="1" x14ac:dyDescent="0.2">
      <c r="E588" s="85"/>
    </row>
    <row r="589" spans="5:5" s="8" customFormat="1" x14ac:dyDescent="0.2">
      <c r="E589" s="85"/>
    </row>
    <row r="590" spans="5:5" s="8" customFormat="1" x14ac:dyDescent="0.2">
      <c r="E590" s="85"/>
    </row>
    <row r="591" spans="5:5" s="8" customFormat="1" x14ac:dyDescent="0.2">
      <c r="E591" s="85"/>
    </row>
    <row r="592" spans="5:5" s="8" customFormat="1" x14ac:dyDescent="0.2">
      <c r="E592" s="85"/>
    </row>
    <row r="593" spans="5:5" s="8" customFormat="1" x14ac:dyDescent="0.2">
      <c r="E593" s="85"/>
    </row>
    <row r="594" spans="5:5" s="8" customFormat="1" x14ac:dyDescent="0.2">
      <c r="E594" s="85"/>
    </row>
    <row r="595" spans="5:5" s="8" customFormat="1" x14ac:dyDescent="0.2">
      <c r="E595" s="85"/>
    </row>
    <row r="596" spans="5:5" s="8" customFormat="1" x14ac:dyDescent="0.2">
      <c r="E596" s="85"/>
    </row>
    <row r="597" spans="5:5" s="8" customFormat="1" x14ac:dyDescent="0.2">
      <c r="E597" s="85"/>
    </row>
    <row r="598" spans="5:5" s="8" customFormat="1" x14ac:dyDescent="0.2">
      <c r="E598" s="85"/>
    </row>
    <row r="599" spans="5:5" s="8" customFormat="1" x14ac:dyDescent="0.2">
      <c r="E599" s="85"/>
    </row>
    <row r="600" spans="5:5" s="8" customFormat="1" x14ac:dyDescent="0.2">
      <c r="E600" s="85"/>
    </row>
    <row r="601" spans="5:5" s="8" customFormat="1" x14ac:dyDescent="0.2">
      <c r="E601" s="85"/>
    </row>
    <row r="602" spans="5:5" s="8" customFormat="1" x14ac:dyDescent="0.2">
      <c r="E602" s="85"/>
    </row>
    <row r="603" spans="5:5" s="8" customFormat="1" x14ac:dyDescent="0.2">
      <c r="E603" s="85"/>
    </row>
    <row r="604" spans="5:5" s="8" customFormat="1" x14ac:dyDescent="0.2">
      <c r="E604" s="85"/>
    </row>
    <row r="605" spans="5:5" s="8" customFormat="1" x14ac:dyDescent="0.2">
      <c r="E605" s="85"/>
    </row>
    <row r="606" spans="5:5" s="8" customFormat="1" x14ac:dyDescent="0.2">
      <c r="E606" s="85"/>
    </row>
    <row r="607" spans="5:5" s="8" customFormat="1" x14ac:dyDescent="0.2">
      <c r="E607" s="85"/>
    </row>
    <row r="608" spans="5:5" s="8" customFormat="1" x14ac:dyDescent="0.2">
      <c r="E608" s="85"/>
    </row>
    <row r="609" spans="5:5" s="8" customFormat="1" x14ac:dyDescent="0.2">
      <c r="E609" s="85"/>
    </row>
    <row r="610" spans="5:5" s="8" customFormat="1" x14ac:dyDescent="0.2">
      <c r="E610" s="85"/>
    </row>
    <row r="611" spans="5:5" s="8" customFormat="1" x14ac:dyDescent="0.2">
      <c r="E611" s="85"/>
    </row>
    <row r="612" spans="5:5" s="8" customFormat="1" x14ac:dyDescent="0.2">
      <c r="E612" s="85"/>
    </row>
    <row r="613" spans="5:5" s="8" customFormat="1" x14ac:dyDescent="0.2">
      <c r="E613" s="85"/>
    </row>
    <row r="614" spans="5:5" s="8" customFormat="1" x14ac:dyDescent="0.2">
      <c r="E614" s="85"/>
    </row>
    <row r="615" spans="5:5" s="8" customFormat="1" x14ac:dyDescent="0.2">
      <c r="E615" s="85"/>
    </row>
    <row r="616" spans="5:5" s="8" customFormat="1" x14ac:dyDescent="0.2">
      <c r="E616" s="85"/>
    </row>
    <row r="617" spans="5:5" s="8" customFormat="1" x14ac:dyDescent="0.2">
      <c r="E617" s="85"/>
    </row>
    <row r="618" spans="5:5" s="8" customFormat="1" x14ac:dyDescent="0.2">
      <c r="E618" s="85"/>
    </row>
    <row r="619" spans="5:5" s="8" customFormat="1" x14ac:dyDescent="0.2">
      <c r="E619" s="85"/>
    </row>
    <row r="620" spans="5:5" s="8" customFormat="1" x14ac:dyDescent="0.2">
      <c r="E620" s="85"/>
    </row>
    <row r="621" spans="5:5" s="8" customFormat="1" x14ac:dyDescent="0.2">
      <c r="E621" s="85"/>
    </row>
    <row r="622" spans="5:5" s="8" customFormat="1" x14ac:dyDescent="0.2">
      <c r="E622" s="85"/>
    </row>
    <row r="623" spans="5:5" s="8" customFormat="1" x14ac:dyDescent="0.2">
      <c r="E623" s="85"/>
    </row>
    <row r="624" spans="5:5" s="8" customFormat="1" x14ac:dyDescent="0.2">
      <c r="E624" s="85"/>
    </row>
    <row r="625" spans="5:5" s="8" customFormat="1" x14ac:dyDescent="0.2">
      <c r="E625" s="85"/>
    </row>
    <row r="626" spans="5:5" s="8" customFormat="1" x14ac:dyDescent="0.2">
      <c r="E626" s="85"/>
    </row>
    <row r="627" spans="5:5" s="8" customFormat="1" x14ac:dyDescent="0.2">
      <c r="E627" s="85"/>
    </row>
    <row r="628" spans="5:5" s="8" customFormat="1" x14ac:dyDescent="0.2">
      <c r="E628" s="85"/>
    </row>
    <row r="629" spans="5:5" s="8" customFormat="1" x14ac:dyDescent="0.2">
      <c r="E629" s="85"/>
    </row>
    <row r="630" spans="5:5" s="8" customFormat="1" x14ac:dyDescent="0.2">
      <c r="E630" s="85"/>
    </row>
    <row r="631" spans="5:5" s="8" customFormat="1" x14ac:dyDescent="0.2">
      <c r="E631" s="85"/>
    </row>
    <row r="632" spans="5:5" s="8" customFormat="1" x14ac:dyDescent="0.2">
      <c r="E632" s="85"/>
    </row>
    <row r="633" spans="5:5" s="8" customFormat="1" x14ac:dyDescent="0.2">
      <c r="E633" s="85"/>
    </row>
    <row r="634" spans="5:5" s="8" customFormat="1" x14ac:dyDescent="0.2">
      <c r="E634" s="85"/>
    </row>
    <row r="635" spans="5:5" s="8" customFormat="1" x14ac:dyDescent="0.2">
      <c r="E635" s="85"/>
    </row>
    <row r="636" spans="5:5" s="8" customFormat="1" x14ac:dyDescent="0.2">
      <c r="E636" s="85"/>
    </row>
    <row r="637" spans="5:5" s="8" customFormat="1" x14ac:dyDescent="0.2">
      <c r="E637" s="85"/>
    </row>
    <row r="638" spans="5:5" s="8" customFormat="1" x14ac:dyDescent="0.2">
      <c r="E638" s="85"/>
    </row>
    <row r="639" spans="5:5" s="8" customFormat="1" x14ac:dyDescent="0.2">
      <c r="E639" s="85"/>
    </row>
    <row r="640" spans="5:5" s="8" customFormat="1" x14ac:dyDescent="0.2">
      <c r="E640" s="85"/>
    </row>
    <row r="641" spans="5:5" s="8" customFormat="1" x14ac:dyDescent="0.2">
      <c r="E641" s="85"/>
    </row>
    <row r="642" spans="5:5" s="8" customFormat="1" x14ac:dyDescent="0.2">
      <c r="E642" s="85"/>
    </row>
    <row r="643" spans="5:5" s="8" customFormat="1" x14ac:dyDescent="0.2">
      <c r="E643" s="85"/>
    </row>
    <row r="644" spans="5:5" s="8" customFormat="1" x14ac:dyDescent="0.2">
      <c r="E644" s="85"/>
    </row>
    <row r="645" spans="5:5" s="8" customFormat="1" x14ac:dyDescent="0.2">
      <c r="E645" s="85"/>
    </row>
    <row r="646" spans="5:5" s="8" customFormat="1" x14ac:dyDescent="0.2">
      <c r="E646" s="85"/>
    </row>
    <row r="647" spans="5:5" s="8" customFormat="1" x14ac:dyDescent="0.2">
      <c r="E647" s="85"/>
    </row>
    <row r="648" spans="5:5" s="8" customFormat="1" x14ac:dyDescent="0.2">
      <c r="E648" s="85"/>
    </row>
    <row r="649" spans="5:5" s="8" customFormat="1" x14ac:dyDescent="0.2">
      <c r="E649" s="85"/>
    </row>
    <row r="650" spans="5:5" s="8" customFormat="1" x14ac:dyDescent="0.2">
      <c r="E650" s="85"/>
    </row>
    <row r="651" spans="5:5" s="8" customFormat="1" x14ac:dyDescent="0.2">
      <c r="E651" s="85"/>
    </row>
    <row r="652" spans="5:5" s="8" customFormat="1" x14ac:dyDescent="0.2">
      <c r="E652" s="85"/>
    </row>
    <row r="653" spans="5:5" s="8" customFormat="1" x14ac:dyDescent="0.2">
      <c r="E653" s="85"/>
    </row>
    <row r="654" spans="5:5" s="8" customFormat="1" x14ac:dyDescent="0.2">
      <c r="E654" s="85"/>
    </row>
    <row r="655" spans="5:5" s="8" customFormat="1" x14ac:dyDescent="0.2">
      <c r="E655" s="85"/>
    </row>
    <row r="656" spans="5:5" s="8" customFormat="1" x14ac:dyDescent="0.2">
      <c r="E656" s="85"/>
    </row>
    <row r="657" spans="5:5" s="8" customFormat="1" x14ac:dyDescent="0.2">
      <c r="E657" s="85"/>
    </row>
    <row r="658" spans="5:5" s="8" customFormat="1" x14ac:dyDescent="0.2">
      <c r="E658" s="85"/>
    </row>
    <row r="659" spans="5:5" s="8" customFormat="1" x14ac:dyDescent="0.2">
      <c r="E659" s="85"/>
    </row>
    <row r="660" spans="5:5" s="8" customFormat="1" x14ac:dyDescent="0.2">
      <c r="E660" s="85"/>
    </row>
    <row r="661" spans="5:5" s="8" customFormat="1" x14ac:dyDescent="0.2">
      <c r="E661" s="85"/>
    </row>
    <row r="662" spans="5:5" s="8" customFormat="1" x14ac:dyDescent="0.2">
      <c r="E662" s="85"/>
    </row>
    <row r="663" spans="5:5" s="8" customFormat="1" x14ac:dyDescent="0.2">
      <c r="E663" s="85"/>
    </row>
    <row r="664" spans="5:5" s="8" customFormat="1" x14ac:dyDescent="0.2">
      <c r="E664" s="85"/>
    </row>
    <row r="665" spans="5:5" s="8" customFormat="1" x14ac:dyDescent="0.2">
      <c r="E665" s="85"/>
    </row>
    <row r="666" spans="5:5" s="8" customFormat="1" x14ac:dyDescent="0.2">
      <c r="E666" s="85"/>
    </row>
    <row r="667" spans="5:5" s="8" customFormat="1" x14ac:dyDescent="0.2">
      <c r="E667" s="85"/>
    </row>
    <row r="668" spans="5:5" s="8" customFormat="1" x14ac:dyDescent="0.2">
      <c r="E668" s="85"/>
    </row>
    <row r="669" spans="5:5" s="8" customFormat="1" x14ac:dyDescent="0.2">
      <c r="E669" s="85"/>
    </row>
    <row r="670" spans="5:5" s="8" customFormat="1" x14ac:dyDescent="0.2">
      <c r="E670" s="85"/>
    </row>
    <row r="671" spans="5:5" s="8" customFormat="1" x14ac:dyDescent="0.2">
      <c r="E671" s="85"/>
    </row>
    <row r="672" spans="5:5" s="8" customFormat="1" x14ac:dyDescent="0.2">
      <c r="E672" s="85"/>
    </row>
    <row r="673" spans="5:5" s="8" customFormat="1" x14ac:dyDescent="0.2">
      <c r="E673" s="85"/>
    </row>
    <row r="674" spans="5:5" s="8" customFormat="1" x14ac:dyDescent="0.2">
      <c r="E674" s="85"/>
    </row>
    <row r="675" spans="5:5" s="8" customFormat="1" x14ac:dyDescent="0.2">
      <c r="E675" s="85"/>
    </row>
    <row r="676" spans="5:5" s="8" customFormat="1" x14ac:dyDescent="0.2">
      <c r="E676" s="85"/>
    </row>
    <row r="677" spans="5:5" s="8" customFormat="1" x14ac:dyDescent="0.2">
      <c r="E677" s="85"/>
    </row>
    <row r="678" spans="5:5" s="8" customFormat="1" x14ac:dyDescent="0.2">
      <c r="E678" s="85"/>
    </row>
    <row r="679" spans="5:5" s="8" customFormat="1" x14ac:dyDescent="0.2">
      <c r="E679" s="85"/>
    </row>
    <row r="680" spans="5:5" s="8" customFormat="1" x14ac:dyDescent="0.2">
      <c r="E680" s="85"/>
    </row>
    <row r="681" spans="5:5" s="8" customFormat="1" x14ac:dyDescent="0.2">
      <c r="E681" s="85"/>
    </row>
    <row r="682" spans="5:5" s="8" customFormat="1" x14ac:dyDescent="0.2">
      <c r="E682" s="85"/>
    </row>
    <row r="683" spans="5:5" s="8" customFormat="1" x14ac:dyDescent="0.2">
      <c r="E683" s="85"/>
    </row>
    <row r="684" spans="5:5" s="8" customFormat="1" x14ac:dyDescent="0.2">
      <c r="E684" s="85"/>
    </row>
    <row r="685" spans="5:5" s="8" customFormat="1" x14ac:dyDescent="0.2">
      <c r="E685" s="85"/>
    </row>
    <row r="686" spans="5:5" s="8" customFormat="1" x14ac:dyDescent="0.2">
      <c r="E686" s="85"/>
    </row>
    <row r="687" spans="5:5" s="8" customFormat="1" x14ac:dyDescent="0.2">
      <c r="E687" s="85"/>
    </row>
    <row r="688" spans="5:5" s="8" customFormat="1" x14ac:dyDescent="0.2">
      <c r="E688" s="85"/>
    </row>
    <row r="689" spans="5:5" s="8" customFormat="1" x14ac:dyDescent="0.2">
      <c r="E689" s="85"/>
    </row>
    <row r="690" spans="5:5" s="8" customFormat="1" x14ac:dyDescent="0.2">
      <c r="E690" s="85"/>
    </row>
    <row r="691" spans="5:5" s="8" customFormat="1" x14ac:dyDescent="0.2">
      <c r="E691" s="85"/>
    </row>
    <row r="692" spans="5:5" s="8" customFormat="1" x14ac:dyDescent="0.2">
      <c r="E692" s="85"/>
    </row>
    <row r="693" spans="5:5" s="8" customFormat="1" x14ac:dyDescent="0.2">
      <c r="E693" s="85"/>
    </row>
    <row r="694" spans="5:5" s="8" customFormat="1" x14ac:dyDescent="0.2">
      <c r="E694" s="85"/>
    </row>
    <row r="695" spans="5:5" s="8" customFormat="1" x14ac:dyDescent="0.2">
      <c r="E695" s="85"/>
    </row>
    <row r="696" spans="5:5" s="8" customFormat="1" x14ac:dyDescent="0.2">
      <c r="E696" s="85"/>
    </row>
    <row r="697" spans="5:5" s="8" customFormat="1" x14ac:dyDescent="0.2">
      <c r="E697" s="85"/>
    </row>
    <row r="698" spans="5:5" s="8" customFormat="1" x14ac:dyDescent="0.2">
      <c r="E698" s="85"/>
    </row>
    <row r="699" spans="5:5" s="8" customFormat="1" x14ac:dyDescent="0.2">
      <c r="E699" s="85"/>
    </row>
    <row r="700" spans="5:5" s="8" customFormat="1" x14ac:dyDescent="0.2">
      <c r="E700" s="85"/>
    </row>
    <row r="701" spans="5:5" s="8" customFormat="1" x14ac:dyDescent="0.2">
      <c r="E701" s="85"/>
    </row>
    <row r="702" spans="5:5" s="8" customFormat="1" x14ac:dyDescent="0.2">
      <c r="E702" s="85"/>
    </row>
    <row r="703" spans="5:5" s="8" customFormat="1" x14ac:dyDescent="0.2">
      <c r="E703" s="85"/>
    </row>
    <row r="704" spans="5:5" s="8" customFormat="1" x14ac:dyDescent="0.2">
      <c r="E704" s="85"/>
    </row>
    <row r="705" spans="5:5" s="8" customFormat="1" x14ac:dyDescent="0.2">
      <c r="E705" s="85"/>
    </row>
    <row r="706" spans="5:5" s="8" customFormat="1" x14ac:dyDescent="0.2">
      <c r="E706" s="85"/>
    </row>
    <row r="707" spans="5:5" s="8" customFormat="1" x14ac:dyDescent="0.2">
      <c r="E707" s="85"/>
    </row>
  </sheetData>
  <sheetProtection algorithmName="SHA-512" hashValue="HCe2ixJ2e2ab+S/NbPNKJGVc8AwxlzsF8Y5HwukfZ4Z9NK3MiBMKFFUiS6xgn6cUiSvPJT4aTjrUlhKMwJ0xrQ==" saltValue="EF8/G/nY1Rp1vkNlhskjjA==" spinCount="100000" sheet="1" objects="1" scenarios="1" formatCells="0" formatColumns="0" formatRows="0"/>
  <mergeCells count="38">
    <mergeCell ref="B13:I13"/>
    <mergeCell ref="B28:C28"/>
    <mergeCell ref="B14:I14"/>
    <mergeCell ref="B15:I15"/>
    <mergeCell ref="B26:C26"/>
    <mergeCell ref="B27:C27"/>
    <mergeCell ref="B102:D102"/>
    <mergeCell ref="B5:I5"/>
    <mergeCell ref="B63:C63"/>
    <mergeCell ref="B67:C67"/>
    <mergeCell ref="B82:C82"/>
    <mergeCell ref="B86:C86"/>
    <mergeCell ref="B87:C87"/>
    <mergeCell ref="B88:C88"/>
    <mergeCell ref="B31:C31"/>
    <mergeCell ref="B35:C35"/>
    <mergeCell ref="B39:C39"/>
    <mergeCell ref="B49:C49"/>
    <mergeCell ref="B53:C53"/>
    <mergeCell ref="B8:I8"/>
    <mergeCell ref="B21:C21"/>
    <mergeCell ref="B25:C25"/>
    <mergeCell ref="B32:C32"/>
    <mergeCell ref="B51:C51"/>
    <mergeCell ref="B65:C65"/>
    <mergeCell ref="B29:C29"/>
    <mergeCell ref="B100:D100"/>
    <mergeCell ref="B59:C59"/>
    <mergeCell ref="B71:C71"/>
    <mergeCell ref="B75:C75"/>
    <mergeCell ref="B43:C43"/>
    <mergeCell ref="B55:C55"/>
    <mergeCell ref="B61:I61"/>
    <mergeCell ref="B57:C57"/>
    <mergeCell ref="B73:C73"/>
    <mergeCell ref="B34:C34"/>
    <mergeCell ref="B33:C33"/>
    <mergeCell ref="B69:I69"/>
  </mergeCells>
  <hyperlinks>
    <hyperlink ref="B79" location="'PT8-treatd wood in service UC5'!A1" display="Go to the top of the pag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9"/>
  <sheetViews>
    <sheetView zoomScale="95" zoomScaleNormal="95" workbookViewId="0"/>
  </sheetViews>
  <sheetFormatPr defaultColWidth="8.75" defaultRowHeight="12.75" x14ac:dyDescent="0.2"/>
  <cols>
    <col min="1" max="1" width="1.625" style="8" customWidth="1"/>
    <col min="2" max="2" width="30.625" style="11" customWidth="1"/>
    <col min="3" max="3" width="25.625" style="11" customWidth="1"/>
    <col min="4" max="4" width="1.625" style="11" customWidth="1"/>
    <col min="5" max="5" width="15.625" style="91" customWidth="1"/>
    <col min="6" max="6" width="15.625" style="11" customWidth="1"/>
    <col min="7" max="8" width="10.625" style="11" customWidth="1"/>
    <col min="9" max="9" width="50.625" style="11" customWidth="1"/>
    <col min="10" max="11" width="15.625" style="8" customWidth="1"/>
    <col min="12" max="60" width="8.75" style="8"/>
    <col min="61" max="16384" width="8.75" style="11"/>
  </cols>
  <sheetData>
    <row r="1" spans="1:65" x14ac:dyDescent="0.2">
      <c r="A1" s="10"/>
      <c r="B1" s="10"/>
      <c r="C1" s="10"/>
      <c r="D1" s="10"/>
      <c r="E1" s="61"/>
      <c r="F1" s="10"/>
      <c r="G1" s="10"/>
      <c r="H1" s="10"/>
      <c r="I1" s="10"/>
      <c r="J1" s="10"/>
      <c r="K1" s="10"/>
      <c r="L1" s="10"/>
    </row>
    <row r="2" spans="1:65" ht="20.25" x14ac:dyDescent="0.2">
      <c r="A2" s="10"/>
      <c r="B2" s="64" t="s">
        <v>35</v>
      </c>
      <c r="C2" s="65"/>
      <c r="D2" s="65"/>
      <c r="E2" s="66"/>
      <c r="F2" s="10"/>
      <c r="G2" s="10"/>
      <c r="H2" s="10"/>
      <c r="I2" s="10"/>
      <c r="J2" s="10"/>
      <c r="K2" s="10"/>
      <c r="L2" s="10"/>
    </row>
    <row r="3" spans="1:65" x14ac:dyDescent="0.2">
      <c r="A3" s="10"/>
      <c r="B3" s="67"/>
      <c r="C3" s="67"/>
      <c r="D3" s="67"/>
      <c r="E3" s="68"/>
      <c r="F3" s="10"/>
      <c r="G3" s="10"/>
      <c r="H3" s="10"/>
      <c r="I3" s="10"/>
      <c r="J3" s="10"/>
      <c r="K3" s="10"/>
      <c r="L3" s="10"/>
    </row>
    <row r="4" spans="1:65" ht="15" x14ac:dyDescent="0.2">
      <c r="A4" s="10"/>
      <c r="B4" s="69"/>
      <c r="C4" s="69"/>
      <c r="D4" s="69"/>
      <c r="E4" s="70"/>
      <c r="F4" s="10"/>
      <c r="G4" s="10"/>
      <c r="H4" s="10"/>
      <c r="I4" s="10"/>
      <c r="J4" s="10"/>
      <c r="K4" s="10"/>
      <c r="L4" s="10"/>
    </row>
    <row r="5" spans="1:65" ht="18" x14ac:dyDescent="0.2">
      <c r="A5" s="10"/>
      <c r="B5" s="55" t="s">
        <v>510</v>
      </c>
      <c r="C5" s="5"/>
      <c r="D5" s="5"/>
      <c r="E5" s="21"/>
      <c r="F5" s="71"/>
      <c r="G5" s="71"/>
      <c r="H5" s="71"/>
      <c r="I5" s="72"/>
      <c r="J5" s="10"/>
      <c r="K5" s="10"/>
      <c r="L5" s="10"/>
    </row>
    <row r="6" spans="1:65" s="75" customFormat="1" x14ac:dyDescent="0.2">
      <c r="A6" s="73"/>
      <c r="B6" s="33"/>
      <c r="C6" s="33"/>
      <c r="D6" s="33"/>
      <c r="E6" s="40"/>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5" s="75" customFormat="1" ht="14.25" x14ac:dyDescent="0.2">
      <c r="A7" s="73"/>
      <c r="B7" s="56" t="s">
        <v>493</v>
      </c>
      <c r="C7" s="57"/>
      <c r="D7" s="57"/>
      <c r="E7" s="58"/>
      <c r="F7" s="76"/>
      <c r="G7" s="76"/>
      <c r="H7" s="76"/>
      <c r="I7" s="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5" s="8" customFormat="1" ht="35.25" customHeight="1" x14ac:dyDescent="0.2">
      <c r="B8" s="372" t="s">
        <v>301</v>
      </c>
      <c r="C8" s="372"/>
      <c r="D8" s="372"/>
      <c r="E8" s="372"/>
      <c r="F8" s="372"/>
      <c r="G8" s="372"/>
      <c r="H8" s="372"/>
      <c r="I8" s="372"/>
      <c r="J8" s="42"/>
      <c r="K8" s="42"/>
      <c r="L8" s="42"/>
    </row>
    <row r="9" spans="1:65" s="79" customFormat="1" x14ac:dyDescent="0.2">
      <c r="B9" s="73"/>
      <c r="C9" s="109"/>
      <c r="G9" s="89"/>
      <c r="H9" s="74"/>
      <c r="I9" s="108"/>
    </row>
    <row r="10" spans="1:65" ht="15" x14ac:dyDescent="0.2">
      <c r="A10" s="10"/>
      <c r="B10" s="59" t="s">
        <v>413</v>
      </c>
      <c r="C10" s="80"/>
      <c r="D10" s="81"/>
      <c r="E10" s="81"/>
      <c r="F10" s="10"/>
      <c r="G10" s="10"/>
      <c r="H10" s="10"/>
      <c r="I10" s="10"/>
      <c r="J10" s="10"/>
      <c r="K10" s="10"/>
      <c r="BH10" s="11"/>
    </row>
    <row r="11" spans="1:65" s="8" customFormat="1" x14ac:dyDescent="0.2">
      <c r="B11" s="366"/>
      <c r="C11" s="366"/>
      <c r="D11" s="366"/>
      <c r="E11" s="366"/>
      <c r="F11" s="366"/>
      <c r="G11" s="366"/>
      <c r="H11" s="366"/>
      <c r="I11" s="366"/>
    </row>
    <row r="12" spans="1:65" x14ac:dyDescent="0.2">
      <c r="A12" s="10"/>
      <c r="B12" s="82" t="s">
        <v>19</v>
      </c>
      <c r="C12" s="82"/>
      <c r="D12" s="82"/>
      <c r="E12" s="77"/>
      <c r="F12" s="77"/>
      <c r="G12" s="77"/>
      <c r="H12" s="77"/>
      <c r="I12" s="83"/>
      <c r="AS12" s="11"/>
      <c r="AT12" s="11"/>
      <c r="AU12" s="11"/>
      <c r="AV12" s="11"/>
      <c r="AW12" s="11"/>
      <c r="AX12" s="11"/>
      <c r="AY12" s="11"/>
      <c r="AZ12" s="11"/>
      <c r="BA12" s="11"/>
      <c r="BB12" s="11"/>
      <c r="BC12" s="11"/>
      <c r="BD12" s="11"/>
      <c r="BE12" s="11"/>
      <c r="BF12" s="11"/>
      <c r="BG12" s="11"/>
      <c r="BH12" s="11"/>
    </row>
    <row r="13" spans="1:65" x14ac:dyDescent="0.2">
      <c r="A13" s="10"/>
      <c r="B13" s="366" t="s">
        <v>276</v>
      </c>
      <c r="C13" s="366"/>
      <c r="D13" s="366"/>
      <c r="E13" s="366"/>
      <c r="F13" s="366"/>
      <c r="G13" s="366"/>
      <c r="H13" s="366"/>
      <c r="I13" s="366"/>
      <c r="AS13" s="11"/>
      <c r="AT13" s="11"/>
      <c r="AU13" s="11"/>
      <c r="AV13" s="11"/>
      <c r="AW13" s="11"/>
      <c r="AX13" s="11"/>
      <c r="AY13" s="11"/>
      <c r="AZ13" s="11"/>
      <c r="BA13" s="11"/>
      <c r="BB13" s="11"/>
      <c r="BC13" s="11"/>
      <c r="BD13" s="11"/>
      <c r="BE13" s="11"/>
      <c r="BF13" s="11"/>
      <c r="BG13" s="11"/>
      <c r="BH13" s="11"/>
    </row>
    <row r="14" spans="1:65" x14ac:dyDescent="0.2">
      <c r="A14" s="10"/>
      <c r="B14" s="366" t="s">
        <v>277</v>
      </c>
      <c r="C14" s="366"/>
      <c r="D14" s="366"/>
      <c r="E14" s="366"/>
      <c r="F14" s="366"/>
      <c r="G14" s="366"/>
      <c r="H14" s="366"/>
      <c r="I14" s="366"/>
      <c r="AS14" s="11"/>
      <c r="AT14" s="11"/>
      <c r="AU14" s="11"/>
      <c r="AV14" s="11"/>
      <c r="AW14" s="11"/>
      <c r="AX14" s="11"/>
      <c r="AY14" s="11"/>
      <c r="AZ14" s="11"/>
      <c r="BA14" s="11"/>
      <c r="BB14" s="11"/>
      <c r="BC14" s="11"/>
      <c r="BD14" s="11"/>
      <c r="BE14" s="11"/>
      <c r="BF14" s="11"/>
      <c r="BG14" s="11"/>
      <c r="BH14" s="11"/>
    </row>
    <row r="15" spans="1:65" x14ac:dyDescent="0.2">
      <c r="A15" s="10"/>
      <c r="B15" s="366" t="s">
        <v>278</v>
      </c>
      <c r="C15" s="366"/>
      <c r="D15" s="366"/>
      <c r="E15" s="366"/>
      <c r="F15" s="366"/>
      <c r="G15" s="366"/>
      <c r="H15" s="366"/>
      <c r="I15" s="366"/>
      <c r="J15" s="10"/>
      <c r="K15" s="10"/>
      <c r="L15" s="10"/>
      <c r="M15" s="10"/>
      <c r="N15" s="10"/>
      <c r="O15" s="10"/>
      <c r="P15" s="10"/>
      <c r="Q15" s="10"/>
      <c r="BI15" s="8"/>
      <c r="BJ15" s="8"/>
      <c r="BK15" s="8"/>
      <c r="BL15" s="8"/>
      <c r="BM15" s="8"/>
    </row>
    <row r="16" spans="1:65" s="8" customFormat="1" ht="3" customHeight="1" x14ac:dyDescent="0.2">
      <c r="A16" s="10"/>
      <c r="D16" s="31"/>
      <c r="E16" s="32"/>
      <c r="F16" s="84"/>
      <c r="G16" s="84"/>
      <c r="H16" s="84"/>
      <c r="I16" s="10"/>
      <c r="J16" s="10"/>
      <c r="K16" s="10"/>
      <c r="L16" s="10"/>
    </row>
    <row r="17" spans="1:60" ht="15" x14ac:dyDescent="0.2">
      <c r="A17" s="10"/>
      <c r="B17" s="4" t="s">
        <v>0</v>
      </c>
      <c r="C17" s="4"/>
      <c r="D17" s="4"/>
      <c r="E17" s="12"/>
      <c r="F17" s="12"/>
      <c r="G17" s="12"/>
      <c r="H17" s="12"/>
      <c r="I17" s="13"/>
      <c r="AS17" s="11"/>
      <c r="AT17" s="11"/>
      <c r="AU17" s="11"/>
      <c r="AV17" s="11"/>
      <c r="AW17" s="11"/>
      <c r="AX17" s="11"/>
      <c r="AY17" s="11"/>
      <c r="AZ17" s="11"/>
      <c r="BA17" s="11"/>
      <c r="BB17" s="11"/>
      <c r="BC17" s="11"/>
      <c r="BD17" s="11"/>
      <c r="BE17" s="11"/>
      <c r="BF17" s="11"/>
      <c r="BG17" s="11"/>
      <c r="BH17" s="11"/>
    </row>
    <row r="18" spans="1:60" x14ac:dyDescent="0.2">
      <c r="A18" s="10"/>
      <c r="B18" s="6"/>
      <c r="C18" s="6"/>
      <c r="D18" s="6"/>
      <c r="E18" s="6"/>
      <c r="F18" s="6"/>
      <c r="G18" s="6"/>
      <c r="H18" s="6"/>
      <c r="I18" s="22"/>
      <c r="AS18" s="11"/>
      <c r="AT18" s="11"/>
      <c r="AU18" s="11"/>
      <c r="AV18" s="11"/>
      <c r="AW18" s="11"/>
      <c r="AX18" s="11"/>
      <c r="AY18" s="11"/>
      <c r="AZ18" s="11"/>
      <c r="BA18" s="11"/>
      <c r="BB18" s="11"/>
      <c r="BC18" s="11"/>
      <c r="BD18" s="11"/>
      <c r="BE18" s="11"/>
      <c r="BF18" s="11"/>
      <c r="BG18" s="11"/>
      <c r="BH18" s="11"/>
    </row>
    <row r="19" spans="1:60" ht="15" x14ac:dyDescent="0.2">
      <c r="A19" s="10"/>
      <c r="B19" s="14" t="s">
        <v>2</v>
      </c>
      <c r="C19" s="14"/>
      <c r="D19" s="14"/>
      <c r="E19" s="15" t="s">
        <v>4</v>
      </c>
      <c r="F19" s="16" t="s">
        <v>7</v>
      </c>
      <c r="G19" s="16" t="s">
        <v>3</v>
      </c>
      <c r="H19" s="16" t="s">
        <v>11</v>
      </c>
      <c r="I19" s="15" t="s">
        <v>34</v>
      </c>
      <c r="AS19" s="11"/>
      <c r="AT19" s="11"/>
      <c r="AU19" s="11"/>
      <c r="AV19" s="11"/>
      <c r="AW19" s="11"/>
      <c r="AX19" s="11"/>
      <c r="AY19" s="11"/>
      <c r="AZ19" s="11"/>
      <c r="BA19" s="11"/>
      <c r="BB19" s="11"/>
      <c r="BC19" s="11"/>
      <c r="BD19" s="11"/>
      <c r="BE19" s="11"/>
      <c r="BF19" s="11"/>
      <c r="BG19" s="11"/>
      <c r="BH19" s="11"/>
    </row>
    <row r="20" spans="1:60" x14ac:dyDescent="0.2">
      <c r="A20" s="10"/>
      <c r="B20" s="125"/>
      <c r="C20" s="14"/>
      <c r="D20" s="14"/>
      <c r="E20" s="15"/>
      <c r="F20" s="16"/>
      <c r="G20" s="16"/>
      <c r="H20" s="16"/>
      <c r="I20" s="15"/>
      <c r="AS20" s="11"/>
      <c r="AT20" s="11"/>
      <c r="AU20" s="11"/>
      <c r="AV20" s="11"/>
      <c r="AW20" s="11"/>
      <c r="AX20" s="11"/>
      <c r="AY20" s="11"/>
      <c r="AZ20" s="11"/>
      <c r="BA20" s="11"/>
      <c r="BB20" s="11"/>
      <c r="BC20" s="11"/>
      <c r="BD20" s="11"/>
      <c r="BE20" s="11"/>
      <c r="BF20" s="11"/>
      <c r="BG20" s="11"/>
      <c r="BH20" s="11"/>
    </row>
    <row r="21" spans="1:60" ht="15" x14ac:dyDescent="0.2">
      <c r="A21" s="10"/>
      <c r="B21" s="362" t="s">
        <v>154</v>
      </c>
      <c r="C21" s="362"/>
      <c r="D21" s="14"/>
      <c r="E21" s="30" t="s">
        <v>155</v>
      </c>
      <c r="F21" s="274"/>
      <c r="G21" s="7" t="s">
        <v>118</v>
      </c>
      <c r="H21" s="7" t="s">
        <v>6</v>
      </c>
      <c r="I21" s="15"/>
      <c r="AS21" s="11"/>
      <c r="AT21" s="11"/>
      <c r="AU21" s="11"/>
      <c r="AV21" s="11"/>
      <c r="AW21" s="11"/>
      <c r="AX21" s="11"/>
      <c r="AY21" s="11"/>
      <c r="AZ21" s="11"/>
      <c r="BA21" s="11"/>
      <c r="BB21" s="11"/>
      <c r="BC21" s="11"/>
      <c r="BD21" s="11"/>
      <c r="BE21" s="11"/>
      <c r="BF21" s="11"/>
      <c r="BG21" s="11"/>
      <c r="BH21" s="11"/>
    </row>
    <row r="22" spans="1:60" ht="5.0999999999999996" customHeight="1" x14ac:dyDescent="0.2">
      <c r="A22" s="10"/>
      <c r="B22" s="125"/>
      <c r="C22" s="14"/>
      <c r="D22" s="14"/>
      <c r="E22" s="15"/>
      <c r="F22" s="275"/>
      <c r="G22" s="7"/>
      <c r="H22" s="7"/>
      <c r="I22" s="15"/>
      <c r="AS22" s="11"/>
      <c r="AT22" s="11"/>
      <c r="AU22" s="11"/>
      <c r="AV22" s="11"/>
      <c r="AW22" s="11"/>
      <c r="AX22" s="11"/>
      <c r="AY22" s="11"/>
      <c r="AZ22" s="11"/>
      <c r="BA22" s="11"/>
      <c r="BB22" s="11"/>
      <c r="BC22" s="11"/>
      <c r="BD22" s="11"/>
      <c r="BE22" s="11"/>
      <c r="BF22" s="11"/>
      <c r="BG22" s="11"/>
      <c r="BH22" s="11"/>
    </row>
    <row r="23" spans="1:60" s="8" customFormat="1" ht="14.25" x14ac:dyDescent="0.2">
      <c r="B23" s="362" t="s">
        <v>656</v>
      </c>
      <c r="C23" s="362"/>
      <c r="D23" s="34"/>
      <c r="E23" s="125" t="s">
        <v>158</v>
      </c>
      <c r="F23" s="274"/>
      <c r="G23" s="7" t="s">
        <v>5</v>
      </c>
      <c r="H23" s="7" t="s">
        <v>6</v>
      </c>
      <c r="I23" s="34"/>
    </row>
    <row r="24" spans="1:60" s="8" customFormat="1" ht="5.0999999999999996" customHeight="1" x14ac:dyDescent="0.2">
      <c r="B24" s="362"/>
      <c r="C24" s="362"/>
      <c r="D24" s="34"/>
      <c r="E24" s="22"/>
      <c r="F24" s="273"/>
      <c r="G24" s="19"/>
      <c r="H24" s="7"/>
      <c r="I24" s="34"/>
    </row>
    <row r="25" spans="1:60" s="8" customFormat="1" ht="14.25" x14ac:dyDescent="0.2">
      <c r="B25" s="362" t="s">
        <v>258</v>
      </c>
      <c r="C25" s="362"/>
      <c r="D25" s="34"/>
      <c r="E25" s="22" t="s">
        <v>259</v>
      </c>
      <c r="F25" s="274"/>
      <c r="G25" s="19" t="s">
        <v>10</v>
      </c>
      <c r="H25" s="7" t="s">
        <v>6</v>
      </c>
      <c r="I25" s="92"/>
    </row>
    <row r="26" spans="1:60" s="8" customFormat="1" ht="5.0999999999999996" customHeight="1" thickBot="1" x14ac:dyDescent="0.25">
      <c r="B26" s="125"/>
      <c r="C26" s="125"/>
      <c r="D26" s="125"/>
      <c r="E26" s="30"/>
      <c r="F26" s="7"/>
      <c r="G26" s="7"/>
      <c r="H26" s="7"/>
      <c r="I26" s="7"/>
    </row>
    <row r="27" spans="1:60" s="8" customFormat="1" ht="17.25" thickTop="1" thickBot="1" x14ac:dyDescent="0.25">
      <c r="B27" s="30" t="s">
        <v>260</v>
      </c>
      <c r="C27" s="313" t="s">
        <v>264</v>
      </c>
      <c r="D27" s="34"/>
      <c r="E27" s="125" t="s">
        <v>261</v>
      </c>
      <c r="F27" s="23" t="str">
        <f>INDEX('Pick-lists &amp; Defaults'!C57:C60,MATCH(C27,Fumigation_Volume,0))</f>
        <v>??</v>
      </c>
      <c r="G27" s="7" t="s">
        <v>24</v>
      </c>
      <c r="H27" s="7" t="s">
        <v>20</v>
      </c>
      <c r="I27" s="34" t="s">
        <v>262</v>
      </c>
    </row>
    <row r="28" spans="1:60" s="8" customFormat="1" ht="5.0999999999999996" customHeight="1" thickTop="1" x14ac:dyDescent="0.2">
      <c r="B28" s="362"/>
      <c r="C28" s="362"/>
      <c r="D28" s="34"/>
      <c r="E28" s="22"/>
      <c r="F28" s="7"/>
      <c r="G28" s="19"/>
      <c r="H28" s="7"/>
      <c r="I28" s="34"/>
    </row>
    <row r="29" spans="1:60" s="8" customFormat="1" ht="14.25" x14ac:dyDescent="0.2">
      <c r="B29" s="125" t="s">
        <v>270</v>
      </c>
      <c r="C29" s="125"/>
      <c r="D29" s="34"/>
      <c r="E29" s="22" t="s">
        <v>272</v>
      </c>
      <c r="F29" s="273">
        <v>0.02</v>
      </c>
      <c r="G29" s="7" t="s">
        <v>5</v>
      </c>
      <c r="H29" s="7" t="s">
        <v>13</v>
      </c>
      <c r="I29" s="107"/>
    </row>
    <row r="30" spans="1:60" s="8" customFormat="1" ht="5.0999999999999996" customHeight="1" x14ac:dyDescent="0.2">
      <c r="B30" s="125"/>
      <c r="C30" s="125"/>
      <c r="D30" s="34"/>
      <c r="E30" s="22"/>
      <c r="F30" s="273"/>
      <c r="G30" s="19"/>
      <c r="H30" s="7"/>
      <c r="I30" s="34"/>
    </row>
    <row r="31" spans="1:60" s="8" customFormat="1" ht="14.25" x14ac:dyDescent="0.2">
      <c r="B31" s="125" t="s">
        <v>271</v>
      </c>
      <c r="C31" s="125"/>
      <c r="D31" s="34"/>
      <c r="E31" s="22" t="s">
        <v>273</v>
      </c>
      <c r="F31" s="273">
        <v>1E-3</v>
      </c>
      <c r="G31" s="7" t="s">
        <v>5</v>
      </c>
      <c r="H31" s="7" t="s">
        <v>13</v>
      </c>
      <c r="I31" s="34"/>
    </row>
    <row r="32" spans="1:60" s="8" customFormat="1" ht="5.0999999999999996" customHeight="1" x14ac:dyDescent="0.2">
      <c r="B32" s="125"/>
      <c r="C32" s="125"/>
      <c r="D32" s="34"/>
      <c r="E32" s="22"/>
      <c r="F32" s="7"/>
      <c r="G32" s="19"/>
      <c r="H32" s="7"/>
      <c r="I32" s="34"/>
    </row>
    <row r="33" spans="1:60" s="8" customFormat="1" x14ac:dyDescent="0.2">
      <c r="B33" s="125"/>
      <c r="C33" s="125"/>
      <c r="D33" s="34"/>
      <c r="E33" s="22"/>
      <c r="F33" s="7"/>
      <c r="G33" s="19"/>
      <c r="H33" s="7"/>
      <c r="I33" s="34"/>
    </row>
    <row r="34" spans="1:60" ht="15" x14ac:dyDescent="0.2">
      <c r="A34" s="10"/>
      <c r="B34" s="4" t="s">
        <v>1</v>
      </c>
      <c r="C34" s="4"/>
      <c r="D34" s="4"/>
      <c r="E34" s="4"/>
      <c r="F34" s="12"/>
      <c r="G34" s="12"/>
      <c r="H34" s="12"/>
      <c r="I34" s="12"/>
      <c r="AT34" s="11"/>
      <c r="AU34" s="11"/>
      <c r="AV34" s="11"/>
      <c r="AW34" s="11"/>
      <c r="AX34" s="11"/>
      <c r="AY34" s="11"/>
      <c r="AZ34" s="11"/>
      <c r="BA34" s="11"/>
      <c r="BB34" s="11"/>
      <c r="BC34" s="11"/>
      <c r="BD34" s="11"/>
      <c r="BE34" s="11"/>
      <c r="BF34" s="11"/>
      <c r="BG34" s="11"/>
      <c r="BH34" s="11"/>
    </row>
    <row r="35" spans="1:60" x14ac:dyDescent="0.2">
      <c r="A35" s="10"/>
      <c r="B35" s="6"/>
      <c r="C35" s="6"/>
      <c r="D35" s="6"/>
      <c r="E35" s="6"/>
      <c r="F35" s="6"/>
      <c r="G35" s="6"/>
      <c r="H35" s="6"/>
      <c r="I35" s="6"/>
      <c r="AT35" s="11"/>
      <c r="AU35" s="11"/>
      <c r="AV35" s="11"/>
      <c r="AW35" s="11"/>
      <c r="AX35" s="11"/>
      <c r="AY35" s="11"/>
      <c r="AZ35" s="11"/>
      <c r="BA35" s="11"/>
      <c r="BB35" s="11"/>
      <c r="BC35" s="11"/>
      <c r="BD35" s="11"/>
      <c r="BE35" s="11"/>
      <c r="BF35" s="11"/>
      <c r="BG35" s="11"/>
      <c r="BH35" s="11"/>
    </row>
    <row r="36" spans="1:60" ht="15" x14ac:dyDescent="0.2">
      <c r="A36" s="10"/>
      <c r="B36" s="14" t="s">
        <v>2</v>
      </c>
      <c r="C36" s="14"/>
      <c r="D36" s="14"/>
      <c r="E36" s="15" t="s">
        <v>4</v>
      </c>
      <c r="F36" s="16" t="s">
        <v>7</v>
      </c>
      <c r="G36" s="16" t="s">
        <v>3</v>
      </c>
      <c r="H36" s="16" t="s">
        <v>11</v>
      </c>
      <c r="I36" s="15" t="s">
        <v>34</v>
      </c>
      <c r="AT36" s="11"/>
      <c r="AU36" s="11"/>
      <c r="AV36" s="11"/>
      <c r="AW36" s="11"/>
      <c r="AX36" s="11"/>
      <c r="AY36" s="11"/>
      <c r="AZ36" s="11"/>
      <c r="BA36" s="11"/>
      <c r="BB36" s="11"/>
      <c r="BC36" s="11"/>
      <c r="BD36" s="11"/>
      <c r="BE36" s="11"/>
      <c r="BF36" s="11"/>
      <c r="BG36" s="11"/>
      <c r="BH36" s="11"/>
    </row>
    <row r="37" spans="1:60" x14ac:dyDescent="0.2">
      <c r="A37" s="10"/>
      <c r="B37" s="14"/>
      <c r="C37" s="14"/>
      <c r="D37" s="14"/>
      <c r="E37" s="15"/>
      <c r="F37" s="16"/>
      <c r="G37" s="16"/>
      <c r="H37" s="16"/>
      <c r="I37" s="15"/>
      <c r="AT37" s="11"/>
      <c r="AU37" s="11"/>
      <c r="AV37" s="11"/>
      <c r="AW37" s="11"/>
      <c r="AX37" s="11"/>
      <c r="AY37" s="11"/>
      <c r="AZ37" s="11"/>
      <c r="BA37" s="11"/>
      <c r="BB37" s="11"/>
      <c r="BC37" s="11"/>
      <c r="BD37" s="11"/>
      <c r="BE37" s="11"/>
      <c r="BF37" s="11"/>
      <c r="BG37" s="11"/>
      <c r="BH37" s="11"/>
    </row>
    <row r="38" spans="1:60" s="8" customFormat="1" ht="18" customHeight="1" x14ac:dyDescent="0.2">
      <c r="A38" s="10"/>
      <c r="B38" s="362" t="s">
        <v>274</v>
      </c>
      <c r="C38" s="362"/>
      <c r="D38" s="362"/>
      <c r="E38" s="30" t="s">
        <v>275</v>
      </c>
      <c r="F38" s="228" t="str">
        <f>IF(AND(ISNUMBER(Qapplic_product),ISNUMBER(fai),ISNUMBER(Trelease),ISNUMBER(Vfumigated)),Qapplic_product*Vfumigated*fai*(1-Fret)*(1-Fdis)/Trelease,"??")</f>
        <v>??</v>
      </c>
      <c r="G38" s="7" t="s">
        <v>21</v>
      </c>
      <c r="H38" s="7" t="s">
        <v>8</v>
      </c>
      <c r="I38" s="126" t="s">
        <v>906</v>
      </c>
    </row>
    <row r="39" spans="1:60" s="8" customFormat="1" x14ac:dyDescent="0.2">
      <c r="A39" s="10"/>
      <c r="B39" s="125"/>
      <c r="C39" s="125"/>
      <c r="D39" s="125"/>
      <c r="E39" s="30"/>
      <c r="F39" s="30"/>
      <c r="G39" s="7"/>
      <c r="H39" s="7"/>
      <c r="I39" s="20"/>
    </row>
    <row r="40" spans="1:60" s="8" customFormat="1" x14ac:dyDescent="0.2">
      <c r="B40" s="86" t="s">
        <v>12</v>
      </c>
      <c r="C40" s="86"/>
      <c r="F40" s="87"/>
      <c r="G40" s="88"/>
      <c r="H40" s="74"/>
      <c r="I40" s="85"/>
    </row>
    <row r="41" spans="1:60" s="73" customFormat="1" x14ac:dyDescent="0.2">
      <c r="C41" s="115"/>
      <c r="G41" s="94"/>
      <c r="I41" s="94"/>
    </row>
    <row r="42" spans="1:60" s="73" customFormat="1" x14ac:dyDescent="0.2">
      <c r="B42" s="307" t="s">
        <v>818</v>
      </c>
      <c r="C42" s="115"/>
      <c r="G42" s="94"/>
      <c r="I42" s="94"/>
    </row>
    <row r="43" spans="1:60" s="8" customFormat="1" x14ac:dyDescent="0.2">
      <c r="B43" s="73"/>
      <c r="E43" s="85"/>
    </row>
    <row r="44" spans="1:60" s="8" customFormat="1" x14ac:dyDescent="0.2">
      <c r="B44" s="303"/>
      <c r="E44" s="85"/>
    </row>
    <row r="45" spans="1:60" s="8" customFormat="1" x14ac:dyDescent="0.2">
      <c r="E45" s="85"/>
    </row>
    <row r="46" spans="1:60" s="8" customFormat="1" x14ac:dyDescent="0.2">
      <c r="E46" s="85"/>
    </row>
    <row r="47" spans="1:60" s="8" customFormat="1" x14ac:dyDescent="0.2">
      <c r="E47" s="85"/>
    </row>
    <row r="48" spans="1:60" s="8" customFormat="1" x14ac:dyDescent="0.2">
      <c r="E48" s="85"/>
    </row>
    <row r="49" spans="5:5" s="8" customFormat="1" x14ac:dyDescent="0.2">
      <c r="E49" s="85"/>
    </row>
    <row r="50" spans="5:5" s="8" customFormat="1" x14ac:dyDescent="0.2">
      <c r="E50" s="85"/>
    </row>
    <row r="51" spans="5:5" s="8" customFormat="1" x14ac:dyDescent="0.2">
      <c r="E51" s="85"/>
    </row>
    <row r="52" spans="5:5" s="8" customFormat="1" x14ac:dyDescent="0.2">
      <c r="E52" s="85"/>
    </row>
    <row r="53" spans="5:5" s="8" customFormat="1" x14ac:dyDescent="0.2">
      <c r="E53" s="85"/>
    </row>
    <row r="54" spans="5:5" s="8" customFormat="1" x14ac:dyDescent="0.2">
      <c r="E54" s="85"/>
    </row>
    <row r="55" spans="5:5" s="8" customFormat="1" x14ac:dyDescent="0.2">
      <c r="E55" s="85"/>
    </row>
    <row r="56" spans="5:5" s="8" customFormat="1" x14ac:dyDescent="0.2">
      <c r="E56" s="85"/>
    </row>
    <row r="57" spans="5:5" s="8" customFormat="1" x14ac:dyDescent="0.2">
      <c r="E57" s="85"/>
    </row>
    <row r="58" spans="5:5" s="8" customFormat="1" x14ac:dyDescent="0.2">
      <c r="E58" s="85"/>
    </row>
    <row r="59" spans="5:5" s="8" customFormat="1" x14ac:dyDescent="0.2">
      <c r="E59" s="85"/>
    </row>
    <row r="60" spans="5:5" s="8" customFormat="1" x14ac:dyDescent="0.2">
      <c r="E60" s="85"/>
    </row>
    <row r="61" spans="5:5" s="8" customFormat="1" x14ac:dyDescent="0.2">
      <c r="E61" s="85"/>
    </row>
    <row r="62" spans="5:5" s="8" customFormat="1" x14ac:dyDescent="0.2">
      <c r="E62" s="85"/>
    </row>
    <row r="63" spans="5:5" s="8" customFormat="1" x14ac:dyDescent="0.2">
      <c r="E63" s="85"/>
    </row>
    <row r="64" spans="5:5" s="8" customFormat="1" x14ac:dyDescent="0.2">
      <c r="E64" s="85"/>
    </row>
    <row r="65" spans="5:5" s="8" customFormat="1" x14ac:dyDescent="0.2">
      <c r="E65" s="85"/>
    </row>
    <row r="66" spans="5:5" s="8" customFormat="1" x14ac:dyDescent="0.2">
      <c r="E66" s="85"/>
    </row>
    <row r="67" spans="5:5" s="8" customFormat="1" x14ac:dyDescent="0.2">
      <c r="E67" s="85"/>
    </row>
    <row r="68" spans="5:5" s="8" customFormat="1" x14ac:dyDescent="0.2">
      <c r="E68" s="85"/>
    </row>
    <row r="69" spans="5:5" s="8" customFormat="1" x14ac:dyDescent="0.2">
      <c r="E69" s="85"/>
    </row>
    <row r="70" spans="5:5" s="8" customFormat="1" x14ac:dyDescent="0.2">
      <c r="E70" s="85"/>
    </row>
    <row r="71" spans="5:5" s="8" customFormat="1" x14ac:dyDescent="0.2">
      <c r="E71" s="85"/>
    </row>
    <row r="72" spans="5:5" s="8" customFormat="1" x14ac:dyDescent="0.2">
      <c r="E72" s="85"/>
    </row>
    <row r="73" spans="5:5" s="8" customFormat="1" x14ac:dyDescent="0.2">
      <c r="E73" s="85"/>
    </row>
    <row r="74" spans="5:5" s="8" customFormat="1" x14ac:dyDescent="0.2">
      <c r="E74" s="85"/>
    </row>
    <row r="75" spans="5:5" s="8" customFormat="1" x14ac:dyDescent="0.2">
      <c r="E75" s="85"/>
    </row>
    <row r="76" spans="5:5" s="8" customFormat="1" x14ac:dyDescent="0.2">
      <c r="E76" s="85"/>
    </row>
    <row r="77" spans="5:5" s="8" customFormat="1" x14ac:dyDescent="0.2">
      <c r="E77" s="85"/>
    </row>
    <row r="78" spans="5:5" s="8" customFormat="1" x14ac:dyDescent="0.2">
      <c r="E78" s="85"/>
    </row>
    <row r="79" spans="5:5" s="8" customFormat="1" x14ac:dyDescent="0.2">
      <c r="E79" s="85"/>
    </row>
    <row r="80" spans="5:5" s="8" customFormat="1" x14ac:dyDescent="0.2">
      <c r="E80" s="85"/>
    </row>
    <row r="81" spans="5:5" s="8" customFormat="1" x14ac:dyDescent="0.2">
      <c r="E81" s="85"/>
    </row>
    <row r="82" spans="5:5" s="8" customFormat="1" x14ac:dyDescent="0.2">
      <c r="E82" s="85"/>
    </row>
    <row r="83" spans="5:5" s="8" customFormat="1" x14ac:dyDescent="0.2">
      <c r="E83" s="85"/>
    </row>
    <row r="84" spans="5:5" s="8" customFormat="1" x14ac:dyDescent="0.2">
      <c r="E84" s="85"/>
    </row>
    <row r="85" spans="5:5" s="8" customFormat="1" x14ac:dyDescent="0.2">
      <c r="E85" s="85"/>
    </row>
    <row r="86" spans="5:5" s="8" customFormat="1" x14ac:dyDescent="0.2">
      <c r="E86" s="85"/>
    </row>
    <row r="87" spans="5:5" s="8" customFormat="1" x14ac:dyDescent="0.2">
      <c r="E87" s="85"/>
    </row>
    <row r="88" spans="5:5" s="8" customFormat="1" x14ac:dyDescent="0.2">
      <c r="E88" s="85"/>
    </row>
    <row r="89" spans="5:5" s="8" customFormat="1" x14ac:dyDescent="0.2">
      <c r="E89" s="85"/>
    </row>
    <row r="90" spans="5:5" s="8" customFormat="1" x14ac:dyDescent="0.2">
      <c r="E90" s="85"/>
    </row>
    <row r="91" spans="5:5" s="8" customFormat="1" x14ac:dyDescent="0.2">
      <c r="E91" s="85"/>
    </row>
    <row r="92" spans="5:5" s="8" customFormat="1" x14ac:dyDescent="0.2">
      <c r="E92" s="85"/>
    </row>
    <row r="93" spans="5:5" s="8" customFormat="1" x14ac:dyDescent="0.2">
      <c r="E93" s="85"/>
    </row>
    <row r="94" spans="5:5" s="8" customFormat="1" x14ac:dyDescent="0.2">
      <c r="E94" s="85"/>
    </row>
    <row r="95" spans="5:5" s="8" customFormat="1" x14ac:dyDescent="0.2">
      <c r="E95" s="85"/>
    </row>
    <row r="96" spans="5:5" s="8" customFormat="1" x14ac:dyDescent="0.2">
      <c r="E96" s="85"/>
    </row>
    <row r="97" spans="5:5" s="8" customFormat="1" x14ac:dyDescent="0.2">
      <c r="E97" s="85"/>
    </row>
    <row r="98" spans="5:5" s="8" customFormat="1" x14ac:dyDescent="0.2">
      <c r="E98" s="85"/>
    </row>
    <row r="99" spans="5:5" s="8" customFormat="1" x14ac:dyDescent="0.2">
      <c r="E99" s="85"/>
    </row>
    <row r="100" spans="5:5" s="8" customFormat="1" x14ac:dyDescent="0.2">
      <c r="E100" s="85"/>
    </row>
    <row r="101" spans="5:5" s="8" customFormat="1" x14ac:dyDescent="0.2">
      <c r="E101" s="85"/>
    </row>
    <row r="102" spans="5:5" s="8" customFormat="1" x14ac:dyDescent="0.2">
      <c r="E102" s="85"/>
    </row>
    <row r="103" spans="5:5" s="8" customFormat="1" x14ac:dyDescent="0.2">
      <c r="E103" s="85"/>
    </row>
    <row r="104" spans="5:5" s="8" customFormat="1" x14ac:dyDescent="0.2">
      <c r="E104" s="85"/>
    </row>
    <row r="105" spans="5:5" s="8" customFormat="1" x14ac:dyDescent="0.2">
      <c r="E105" s="85"/>
    </row>
    <row r="106" spans="5:5" s="8" customFormat="1" x14ac:dyDescent="0.2">
      <c r="E106" s="85"/>
    </row>
    <row r="107" spans="5:5" s="8" customFormat="1" x14ac:dyDescent="0.2">
      <c r="E107" s="85"/>
    </row>
    <row r="108" spans="5:5" s="8" customFormat="1" x14ac:dyDescent="0.2">
      <c r="E108" s="85"/>
    </row>
    <row r="109" spans="5:5" s="8" customFormat="1" x14ac:dyDescent="0.2">
      <c r="E109" s="85"/>
    </row>
    <row r="110" spans="5:5" s="8" customFormat="1" x14ac:dyDescent="0.2">
      <c r="E110" s="85"/>
    </row>
    <row r="111" spans="5:5" s="8" customFormat="1" x14ac:dyDescent="0.2">
      <c r="E111" s="85"/>
    </row>
    <row r="112" spans="5:5" s="8" customFormat="1" x14ac:dyDescent="0.2">
      <c r="E112" s="85"/>
    </row>
    <row r="113" spans="5:5" s="8" customFormat="1" x14ac:dyDescent="0.2">
      <c r="E113" s="85"/>
    </row>
    <row r="114" spans="5:5" s="8" customFormat="1" x14ac:dyDescent="0.2">
      <c r="E114" s="85"/>
    </row>
    <row r="115" spans="5:5" s="8" customFormat="1" x14ac:dyDescent="0.2">
      <c r="E115" s="85"/>
    </row>
    <row r="116" spans="5:5" s="8" customFormat="1" x14ac:dyDescent="0.2">
      <c r="E116" s="85"/>
    </row>
    <row r="117" spans="5:5" s="8" customFormat="1" x14ac:dyDescent="0.2">
      <c r="E117" s="85"/>
    </row>
    <row r="118" spans="5:5" s="8" customFormat="1" x14ac:dyDescent="0.2">
      <c r="E118" s="85"/>
    </row>
    <row r="119" spans="5:5" s="8" customFormat="1" x14ac:dyDescent="0.2">
      <c r="E119" s="85"/>
    </row>
    <row r="120" spans="5:5" s="8" customFormat="1" x14ac:dyDescent="0.2">
      <c r="E120" s="85"/>
    </row>
    <row r="121" spans="5:5" s="8" customFormat="1" x14ac:dyDescent="0.2">
      <c r="E121" s="85"/>
    </row>
    <row r="122" spans="5:5" s="8" customFormat="1" x14ac:dyDescent="0.2">
      <c r="E122" s="85"/>
    </row>
    <row r="123" spans="5:5" s="8" customFormat="1" x14ac:dyDescent="0.2">
      <c r="E123" s="85"/>
    </row>
    <row r="124" spans="5:5" s="8" customFormat="1" x14ac:dyDescent="0.2">
      <c r="E124" s="85"/>
    </row>
    <row r="125" spans="5:5" s="8" customFormat="1" x14ac:dyDescent="0.2">
      <c r="E125" s="85"/>
    </row>
    <row r="126" spans="5:5" s="8" customFormat="1" x14ac:dyDescent="0.2">
      <c r="E126" s="85"/>
    </row>
    <row r="127" spans="5:5" s="8" customFormat="1" x14ac:dyDescent="0.2">
      <c r="E127" s="85"/>
    </row>
    <row r="128" spans="5:5" s="8" customFormat="1" x14ac:dyDescent="0.2">
      <c r="E128" s="85"/>
    </row>
    <row r="129" spans="5:5" s="8" customFormat="1" x14ac:dyDescent="0.2">
      <c r="E129" s="85"/>
    </row>
    <row r="130" spans="5:5" s="8" customFormat="1" x14ac:dyDescent="0.2">
      <c r="E130" s="85"/>
    </row>
    <row r="131" spans="5:5" s="8" customFormat="1" x14ac:dyDescent="0.2">
      <c r="E131" s="85"/>
    </row>
    <row r="132" spans="5:5" s="8" customFormat="1" x14ac:dyDescent="0.2">
      <c r="E132" s="85"/>
    </row>
    <row r="133" spans="5:5" s="8" customFormat="1" x14ac:dyDescent="0.2">
      <c r="E133" s="85"/>
    </row>
    <row r="134" spans="5:5" s="8" customFormat="1" x14ac:dyDescent="0.2">
      <c r="E134" s="85"/>
    </row>
    <row r="135" spans="5:5" s="8" customFormat="1" x14ac:dyDescent="0.2">
      <c r="E135" s="85"/>
    </row>
    <row r="136" spans="5:5" s="8" customFormat="1" x14ac:dyDescent="0.2">
      <c r="E136" s="85"/>
    </row>
    <row r="137" spans="5:5" s="8" customFormat="1" x14ac:dyDescent="0.2">
      <c r="E137" s="85"/>
    </row>
    <row r="138" spans="5:5" s="8" customFormat="1" x14ac:dyDescent="0.2">
      <c r="E138" s="85"/>
    </row>
    <row r="139" spans="5:5" s="8" customFormat="1" x14ac:dyDescent="0.2">
      <c r="E139" s="85"/>
    </row>
    <row r="140" spans="5:5" s="8" customFormat="1" x14ac:dyDescent="0.2">
      <c r="E140" s="85"/>
    </row>
    <row r="141" spans="5:5" s="8" customFormat="1" x14ac:dyDescent="0.2">
      <c r="E141" s="85"/>
    </row>
    <row r="142" spans="5:5" s="8" customFormat="1" x14ac:dyDescent="0.2">
      <c r="E142" s="85"/>
    </row>
    <row r="143" spans="5:5" s="8" customFormat="1" x14ac:dyDescent="0.2">
      <c r="E143" s="85"/>
    </row>
    <row r="144" spans="5:5" s="8" customFormat="1" x14ac:dyDescent="0.2">
      <c r="E144" s="85"/>
    </row>
    <row r="145" spans="5:5" s="8" customFormat="1" x14ac:dyDescent="0.2">
      <c r="E145" s="85"/>
    </row>
    <row r="146" spans="5:5" s="8" customFormat="1" x14ac:dyDescent="0.2">
      <c r="E146" s="85"/>
    </row>
    <row r="147" spans="5:5" s="8" customFormat="1" x14ac:dyDescent="0.2">
      <c r="E147" s="85"/>
    </row>
    <row r="148" spans="5:5" s="8" customFormat="1" x14ac:dyDescent="0.2">
      <c r="E148" s="85"/>
    </row>
    <row r="149" spans="5:5" s="8" customFormat="1" x14ac:dyDescent="0.2">
      <c r="E149" s="85"/>
    </row>
    <row r="150" spans="5:5" s="8" customFormat="1" x14ac:dyDescent="0.2">
      <c r="E150" s="85"/>
    </row>
    <row r="151" spans="5:5" s="8" customFormat="1" x14ac:dyDescent="0.2">
      <c r="E151" s="85"/>
    </row>
    <row r="152" spans="5:5" s="8" customFormat="1" x14ac:dyDescent="0.2">
      <c r="E152" s="85"/>
    </row>
    <row r="153" spans="5:5" s="8" customFormat="1" x14ac:dyDescent="0.2">
      <c r="E153" s="85"/>
    </row>
    <row r="154" spans="5:5" s="8" customFormat="1" x14ac:dyDescent="0.2">
      <c r="E154" s="85"/>
    </row>
    <row r="155" spans="5:5" s="8" customFormat="1" x14ac:dyDescent="0.2">
      <c r="E155" s="85"/>
    </row>
    <row r="156" spans="5:5" s="8" customFormat="1" x14ac:dyDescent="0.2">
      <c r="E156" s="85"/>
    </row>
    <row r="157" spans="5:5" s="8" customFormat="1" x14ac:dyDescent="0.2">
      <c r="E157" s="85"/>
    </row>
    <row r="158" spans="5:5" s="8" customFormat="1" x14ac:dyDescent="0.2">
      <c r="E158" s="85"/>
    </row>
    <row r="159" spans="5:5" s="8" customFormat="1" x14ac:dyDescent="0.2">
      <c r="E159" s="85"/>
    </row>
    <row r="160" spans="5:5" s="8" customFormat="1" x14ac:dyDescent="0.2">
      <c r="E160" s="85"/>
    </row>
    <row r="161" spans="5:5" s="8" customFormat="1" x14ac:dyDescent="0.2">
      <c r="E161" s="85"/>
    </row>
    <row r="162" spans="5:5" s="8" customFormat="1" x14ac:dyDescent="0.2">
      <c r="E162" s="85"/>
    </row>
    <row r="163" spans="5:5" s="8" customFormat="1" x14ac:dyDescent="0.2">
      <c r="E163" s="85"/>
    </row>
    <row r="164" spans="5:5" s="8" customFormat="1" x14ac:dyDescent="0.2">
      <c r="E164" s="85"/>
    </row>
    <row r="165" spans="5:5" s="8" customFormat="1" x14ac:dyDescent="0.2">
      <c r="E165" s="85"/>
    </row>
    <row r="166" spans="5:5" s="8" customFormat="1" x14ac:dyDescent="0.2">
      <c r="E166" s="85"/>
    </row>
    <row r="167" spans="5:5" s="8" customFormat="1" x14ac:dyDescent="0.2">
      <c r="E167" s="85"/>
    </row>
    <row r="168" spans="5:5" s="8" customFormat="1" x14ac:dyDescent="0.2">
      <c r="E168" s="85"/>
    </row>
    <row r="169" spans="5:5" s="8" customFormat="1" x14ac:dyDescent="0.2">
      <c r="E169" s="85"/>
    </row>
    <row r="170" spans="5:5" s="8" customFormat="1" x14ac:dyDescent="0.2">
      <c r="E170" s="85"/>
    </row>
    <row r="171" spans="5:5" s="8" customFormat="1" x14ac:dyDescent="0.2">
      <c r="E171" s="85"/>
    </row>
    <row r="172" spans="5:5" s="8" customFormat="1" x14ac:dyDescent="0.2">
      <c r="E172" s="85"/>
    </row>
    <row r="173" spans="5:5" s="8" customFormat="1" x14ac:dyDescent="0.2">
      <c r="E173" s="85"/>
    </row>
    <row r="174" spans="5:5" s="8" customFormat="1" x14ac:dyDescent="0.2">
      <c r="E174" s="85"/>
    </row>
    <row r="175" spans="5:5" s="8" customFormat="1" x14ac:dyDescent="0.2">
      <c r="E175" s="85"/>
    </row>
    <row r="176" spans="5:5" s="8" customFormat="1" x14ac:dyDescent="0.2">
      <c r="E176" s="85"/>
    </row>
    <row r="177" spans="5:5" s="8" customFormat="1" x14ac:dyDescent="0.2">
      <c r="E177" s="85"/>
    </row>
    <row r="178" spans="5:5" s="8" customFormat="1" x14ac:dyDescent="0.2">
      <c r="E178" s="85"/>
    </row>
    <row r="179" spans="5:5" s="8" customFormat="1" x14ac:dyDescent="0.2">
      <c r="E179" s="85"/>
    </row>
  </sheetData>
  <sheetProtection algorithmName="SHA-512" hashValue="f5nvlfg9oaHA7L7FdD6YlWrDUeAueb4+An1L7TaKlD12qqXr6/tI8Zzlh6uZAmAEJrGG5HvJy40L8dZnDxTCtA==" saltValue="S9rbp6TTJp9ji36j5l8u1g==" spinCount="100000" sheet="1" objects="1" scenarios="1" formatCells="0" formatColumns="0" formatRows="0"/>
  <mergeCells count="11">
    <mergeCell ref="B25:C25"/>
    <mergeCell ref="B28:C28"/>
    <mergeCell ref="B38:D38"/>
    <mergeCell ref="B14:I14"/>
    <mergeCell ref="B24:C24"/>
    <mergeCell ref="B8:I8"/>
    <mergeCell ref="B13:I13"/>
    <mergeCell ref="B15:I15"/>
    <mergeCell ref="B21:C21"/>
    <mergeCell ref="B23:C23"/>
    <mergeCell ref="B11:I11"/>
  </mergeCells>
  <dataValidations count="2">
    <dataValidation type="list" allowBlank="1" showInputMessage="1" showErrorMessage="1" sqref="C27">
      <formula1>Fumigation_Volume</formula1>
    </dataValidation>
    <dataValidation type="decimal" allowBlank="1" showInputMessage="1" showErrorMessage="1" errorTitle="Fraction input" error="Enter a value &gt;0 and &lt;=1." sqref="F23">
      <formula1>0</formula1>
      <formula2>1</formula2>
    </dataValidation>
  </dataValidations>
  <hyperlinks>
    <hyperlink ref="B42" location="'PT8-indoor fumigation'!A1" display="Go to the top of the pag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28"/>
  <sheetViews>
    <sheetView zoomScale="82" zoomScaleNormal="82" workbookViewId="0"/>
  </sheetViews>
  <sheetFormatPr defaultColWidth="8.75" defaultRowHeight="12.75" x14ac:dyDescent="0.2"/>
  <cols>
    <col min="1" max="1" width="1.625" style="8" customWidth="1"/>
    <col min="2" max="2" width="55.625" style="11" customWidth="1"/>
    <col min="3" max="3" width="1.625" style="11" customWidth="1"/>
    <col min="4" max="4" width="20.625" style="91" customWidth="1"/>
    <col min="5" max="5" width="15.625" style="11" customWidth="1"/>
    <col min="6" max="6" width="1.625" style="11" customWidth="1"/>
    <col min="7" max="7" width="15.625" style="11" customWidth="1"/>
    <col min="8" max="8" width="10.625" style="11" customWidth="1"/>
    <col min="9" max="9" width="55.625" style="11" customWidth="1"/>
    <col min="10" max="11" width="15.625" style="8" customWidth="1"/>
    <col min="12" max="60" width="8.75" style="8"/>
    <col min="61" max="16384" width="8.75" style="11"/>
  </cols>
  <sheetData>
    <row r="1" spans="1:65" x14ac:dyDescent="0.2">
      <c r="A1" s="10"/>
      <c r="B1" s="10"/>
      <c r="C1" s="10"/>
      <c r="D1" s="61"/>
      <c r="E1" s="10"/>
      <c r="F1" s="10"/>
      <c r="G1" s="10"/>
      <c r="H1" s="10"/>
      <c r="I1" s="10"/>
      <c r="J1" s="10"/>
      <c r="K1" s="10"/>
      <c r="L1" s="10"/>
    </row>
    <row r="2" spans="1:65" ht="20.25" x14ac:dyDescent="0.2">
      <c r="A2" s="10"/>
      <c r="B2" s="64" t="s">
        <v>35</v>
      </c>
      <c r="C2" s="65"/>
      <c r="D2" s="66"/>
      <c r="E2" s="10"/>
      <c r="F2" s="10"/>
      <c r="G2" s="10"/>
      <c r="H2" s="10"/>
      <c r="I2" s="10"/>
      <c r="J2" s="10"/>
      <c r="K2" s="10"/>
      <c r="L2" s="10"/>
    </row>
    <row r="3" spans="1:65" x14ac:dyDescent="0.2">
      <c r="A3" s="10"/>
      <c r="B3" s="67"/>
      <c r="C3" s="67"/>
      <c r="D3" s="68"/>
      <c r="E3" s="10"/>
      <c r="F3" s="10"/>
      <c r="G3" s="10"/>
      <c r="H3" s="10"/>
      <c r="I3" s="10"/>
      <c r="J3" s="10"/>
      <c r="K3" s="10"/>
      <c r="L3" s="10"/>
    </row>
    <row r="4" spans="1:65" ht="15" x14ac:dyDescent="0.2">
      <c r="A4" s="10"/>
      <c r="B4" s="69"/>
      <c r="C4" s="69"/>
      <c r="D4" s="70"/>
      <c r="E4" s="10"/>
      <c r="F4" s="10"/>
      <c r="G4" s="10"/>
      <c r="H4" s="10"/>
      <c r="I4" s="10"/>
      <c r="J4" s="10"/>
      <c r="K4" s="10"/>
      <c r="L4" s="10"/>
    </row>
    <row r="5" spans="1:65" ht="18" x14ac:dyDescent="0.2">
      <c r="A5" s="10"/>
      <c r="B5" s="55" t="s">
        <v>511</v>
      </c>
      <c r="C5" s="5"/>
      <c r="D5" s="21"/>
      <c r="E5" s="71"/>
      <c r="F5" s="71"/>
      <c r="G5" s="71"/>
      <c r="H5" s="71"/>
      <c r="I5" s="72"/>
      <c r="J5" s="10"/>
      <c r="K5" s="10"/>
      <c r="L5" s="10"/>
    </row>
    <row r="6" spans="1:65" s="75" customFormat="1" x14ac:dyDescent="0.2">
      <c r="A6" s="73"/>
      <c r="B6" s="33"/>
      <c r="C6" s="33"/>
      <c r="D6" s="40"/>
      <c r="E6" s="73"/>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5" s="75" customFormat="1" ht="14.25" x14ac:dyDescent="0.2">
      <c r="A7" s="73"/>
      <c r="B7" s="56" t="s">
        <v>493</v>
      </c>
      <c r="C7" s="57"/>
      <c r="D7" s="58"/>
      <c r="E7" s="76"/>
      <c r="F7" s="76"/>
      <c r="G7" s="76"/>
      <c r="H7" s="76"/>
      <c r="I7" s="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5" s="8" customFormat="1" ht="29.25" customHeight="1" x14ac:dyDescent="0.2">
      <c r="B8" s="372" t="s">
        <v>301</v>
      </c>
      <c r="C8" s="372"/>
      <c r="D8" s="372"/>
      <c r="E8" s="372"/>
      <c r="F8" s="372"/>
      <c r="G8" s="372"/>
      <c r="H8" s="372"/>
      <c r="I8" s="372"/>
      <c r="J8" s="42"/>
      <c r="K8" s="42"/>
      <c r="L8" s="42"/>
    </row>
    <row r="9" spans="1:65" ht="12.75" customHeight="1" x14ac:dyDescent="0.2">
      <c r="A9" s="10"/>
      <c r="B9" s="73"/>
      <c r="C9" s="81"/>
      <c r="D9" s="81"/>
      <c r="E9" s="10"/>
      <c r="F9" s="10"/>
      <c r="G9" s="10"/>
      <c r="H9" s="10"/>
      <c r="I9" s="10"/>
      <c r="J9" s="10"/>
      <c r="K9" s="10"/>
      <c r="BH9" s="11"/>
    </row>
    <row r="10" spans="1:65" x14ac:dyDescent="0.2">
      <c r="A10" s="10"/>
      <c r="B10" s="82" t="s">
        <v>19</v>
      </c>
      <c r="C10" s="82"/>
      <c r="D10" s="77"/>
      <c r="E10" s="77"/>
      <c r="F10" s="77"/>
      <c r="G10" s="77"/>
      <c r="H10" s="77"/>
      <c r="I10" s="83"/>
      <c r="AS10" s="11"/>
      <c r="AT10" s="11"/>
      <c r="AU10" s="11"/>
      <c r="AV10" s="11"/>
      <c r="AW10" s="11"/>
      <c r="AX10" s="11"/>
      <c r="AY10" s="11"/>
      <c r="AZ10" s="11"/>
      <c r="BA10" s="11"/>
      <c r="BB10" s="11"/>
      <c r="BC10" s="11"/>
      <c r="BD10" s="11"/>
      <c r="BE10" s="11"/>
      <c r="BF10" s="11"/>
      <c r="BG10" s="11"/>
      <c r="BH10" s="11"/>
    </row>
    <row r="11" spans="1:65" ht="15" customHeight="1" x14ac:dyDescent="0.2">
      <c r="A11" s="10"/>
      <c r="B11" s="366" t="s">
        <v>630</v>
      </c>
      <c r="C11" s="366"/>
      <c r="D11" s="366"/>
      <c r="E11" s="366"/>
      <c r="F11" s="366"/>
      <c r="G11" s="366"/>
      <c r="H11" s="366"/>
      <c r="I11" s="366"/>
      <c r="AS11" s="11"/>
      <c r="AT11" s="11"/>
      <c r="AU11" s="11"/>
      <c r="AV11" s="11"/>
      <c r="AW11" s="11"/>
      <c r="AX11" s="11"/>
      <c r="AY11" s="11"/>
      <c r="AZ11" s="11"/>
      <c r="BA11" s="11"/>
      <c r="BB11" s="11"/>
      <c r="BC11" s="11"/>
      <c r="BD11" s="11"/>
      <c r="BE11" s="11"/>
      <c r="BF11" s="11"/>
      <c r="BG11" s="11"/>
      <c r="BH11" s="11"/>
    </row>
    <row r="12" spans="1:65" ht="15" customHeight="1" x14ac:dyDescent="0.2">
      <c r="A12" s="10"/>
      <c r="B12" s="94" t="s">
        <v>784</v>
      </c>
      <c r="C12" s="262"/>
      <c r="D12" s="262"/>
      <c r="E12" s="262"/>
      <c r="F12" s="262"/>
      <c r="G12" s="262"/>
      <c r="H12" s="262"/>
      <c r="I12" s="262"/>
      <c r="AS12" s="11"/>
      <c r="AT12" s="11"/>
      <c r="AU12" s="11"/>
      <c r="AV12" s="11"/>
      <c r="AW12" s="11"/>
      <c r="AX12" s="11"/>
      <c r="AY12" s="11"/>
      <c r="AZ12" s="11"/>
      <c r="BA12" s="11"/>
      <c r="BB12" s="11"/>
      <c r="BC12" s="11"/>
      <c r="BD12" s="11"/>
      <c r="BE12" s="11"/>
      <c r="BF12" s="11"/>
      <c r="BG12" s="11"/>
      <c r="BH12" s="11"/>
    </row>
    <row r="13" spans="1:65" ht="15" customHeight="1" x14ac:dyDescent="0.2">
      <c r="A13" s="10"/>
      <c r="B13" s="352" t="s">
        <v>976</v>
      </c>
      <c r="C13" s="351"/>
      <c r="D13" s="351"/>
      <c r="E13" s="351"/>
      <c r="F13" s="351"/>
      <c r="G13" s="351"/>
      <c r="H13" s="351"/>
      <c r="I13" s="351"/>
      <c r="AS13" s="11"/>
      <c r="AT13" s="11"/>
      <c r="AU13" s="11"/>
      <c r="AV13" s="11"/>
      <c r="AW13" s="11"/>
      <c r="AX13" s="11"/>
      <c r="AY13" s="11"/>
      <c r="AZ13" s="11"/>
      <c r="BA13" s="11"/>
      <c r="BB13" s="11"/>
      <c r="BC13" s="11"/>
      <c r="BD13" s="11"/>
      <c r="BE13" s="11"/>
      <c r="BF13" s="11"/>
      <c r="BG13" s="11"/>
      <c r="BH13" s="11"/>
    </row>
    <row r="14" spans="1:65" ht="16.899999999999999" customHeight="1" x14ac:dyDescent="0.2">
      <c r="A14" s="10"/>
      <c r="B14" s="366" t="s">
        <v>363</v>
      </c>
      <c r="C14" s="366"/>
      <c r="D14" s="366"/>
      <c r="E14" s="366"/>
      <c r="F14" s="366"/>
      <c r="G14" s="366"/>
      <c r="H14" s="366"/>
      <c r="I14" s="366"/>
      <c r="J14" s="10"/>
      <c r="K14" s="10"/>
      <c r="L14" s="10"/>
      <c r="M14" s="10"/>
      <c r="N14" s="10"/>
      <c r="O14" s="10"/>
      <c r="P14" s="10"/>
      <c r="Q14" s="10"/>
      <c r="BI14" s="8"/>
      <c r="BJ14" s="8"/>
      <c r="BK14" s="8"/>
      <c r="BL14" s="8"/>
      <c r="BM14" s="8"/>
    </row>
    <row r="15" spans="1:65" s="8" customFormat="1" ht="3" customHeight="1" x14ac:dyDescent="0.2">
      <c r="A15" s="10"/>
      <c r="C15" s="31"/>
      <c r="D15" s="32"/>
      <c r="E15" s="84"/>
      <c r="F15" s="84"/>
      <c r="G15" s="84"/>
      <c r="H15" s="84"/>
      <c r="I15" s="10"/>
      <c r="J15" s="10"/>
      <c r="K15" s="10"/>
      <c r="L15" s="10"/>
    </row>
    <row r="16" spans="1:65" ht="15" x14ac:dyDescent="0.2">
      <c r="A16" s="10"/>
      <c r="B16" s="4" t="s">
        <v>0</v>
      </c>
      <c r="C16" s="4"/>
      <c r="D16" s="12"/>
      <c r="E16" s="12"/>
      <c r="F16" s="12"/>
      <c r="G16" s="12"/>
      <c r="H16" s="12"/>
      <c r="I16" s="13"/>
      <c r="AS16" s="11"/>
      <c r="AT16" s="11"/>
      <c r="AU16" s="11"/>
      <c r="AV16" s="11"/>
      <c r="AW16" s="11"/>
      <c r="AX16" s="11"/>
      <c r="AY16" s="11"/>
      <c r="AZ16" s="11"/>
      <c r="BA16" s="11"/>
      <c r="BB16" s="11"/>
      <c r="BC16" s="11"/>
      <c r="BD16" s="11"/>
      <c r="BE16" s="11"/>
      <c r="BF16" s="11"/>
      <c r="BG16" s="11"/>
      <c r="BH16" s="11"/>
    </row>
    <row r="17" spans="1:60" x14ac:dyDescent="0.2">
      <c r="A17" s="10"/>
      <c r="B17" s="6"/>
      <c r="C17" s="6"/>
      <c r="D17" s="6"/>
      <c r="E17" s="6"/>
      <c r="F17" s="6"/>
      <c r="G17" s="6"/>
      <c r="H17" s="6"/>
      <c r="I17" s="22"/>
      <c r="AS17" s="11"/>
      <c r="AT17" s="11"/>
      <c r="AU17" s="11"/>
      <c r="AV17" s="11"/>
      <c r="AW17" s="11"/>
      <c r="AX17" s="11"/>
      <c r="AY17" s="11"/>
      <c r="AZ17" s="11"/>
      <c r="BA17" s="11"/>
      <c r="BB17" s="11"/>
      <c r="BC17" s="11"/>
      <c r="BD17" s="11"/>
      <c r="BE17" s="11"/>
      <c r="BF17" s="11"/>
      <c r="BG17" s="11"/>
      <c r="BH17" s="11"/>
    </row>
    <row r="18" spans="1:60" ht="15" x14ac:dyDescent="0.2">
      <c r="A18" s="10"/>
      <c r="B18" s="14" t="s">
        <v>2</v>
      </c>
      <c r="C18" s="14"/>
      <c r="D18" s="15" t="s">
        <v>4</v>
      </c>
      <c r="E18" s="16" t="s">
        <v>7</v>
      </c>
      <c r="F18" s="16"/>
      <c r="G18" s="16" t="s">
        <v>3</v>
      </c>
      <c r="H18" s="16" t="s">
        <v>11</v>
      </c>
      <c r="I18" s="15" t="s">
        <v>34</v>
      </c>
      <c r="AS18" s="11"/>
      <c r="AT18" s="11"/>
      <c r="AU18" s="11"/>
      <c r="AV18" s="11"/>
      <c r="AW18" s="11"/>
      <c r="AX18" s="11"/>
      <c r="AY18" s="11"/>
      <c r="AZ18" s="11"/>
      <c r="BA18" s="11"/>
      <c r="BB18" s="11"/>
      <c r="BC18" s="11"/>
      <c r="BD18" s="11"/>
      <c r="BE18" s="11"/>
      <c r="BF18" s="11"/>
      <c r="BG18" s="11"/>
      <c r="BH18" s="11"/>
    </row>
    <row r="19" spans="1:60" x14ac:dyDescent="0.2">
      <c r="A19" s="10"/>
      <c r="B19" s="128"/>
      <c r="C19" s="14"/>
      <c r="D19" s="15"/>
      <c r="E19" s="16"/>
      <c r="F19" s="16"/>
      <c r="G19" s="16"/>
      <c r="H19" s="16"/>
      <c r="I19" s="15"/>
      <c r="AS19" s="11"/>
      <c r="AT19" s="11"/>
      <c r="AU19" s="11"/>
      <c r="AV19" s="11"/>
      <c r="AW19" s="11"/>
      <c r="AX19" s="11"/>
      <c r="AY19" s="11"/>
      <c r="AZ19" s="11"/>
      <c r="BA19" s="11"/>
      <c r="BB19" s="11"/>
      <c r="BC19" s="11"/>
      <c r="BD19" s="11"/>
      <c r="BE19" s="11"/>
      <c r="BF19" s="11"/>
      <c r="BG19" s="11"/>
      <c r="BH19" s="11"/>
    </row>
    <row r="20" spans="1:60" ht="25.5" x14ac:dyDescent="0.2">
      <c r="A20" s="10"/>
      <c r="B20" s="193" t="s">
        <v>279</v>
      </c>
      <c r="C20" s="14"/>
      <c r="D20" s="30" t="s">
        <v>280</v>
      </c>
      <c r="E20" s="272">
        <v>0.8</v>
      </c>
      <c r="F20" s="39"/>
      <c r="G20" s="7" t="s">
        <v>29</v>
      </c>
      <c r="H20" s="7" t="s">
        <v>13</v>
      </c>
      <c r="I20" s="261" t="s">
        <v>634</v>
      </c>
      <c r="AS20" s="11"/>
      <c r="AT20" s="11"/>
      <c r="AU20" s="11"/>
      <c r="AV20" s="11"/>
      <c r="AW20" s="11"/>
      <c r="AX20" s="11"/>
      <c r="AY20" s="11"/>
      <c r="AZ20" s="11"/>
      <c r="BA20" s="11"/>
      <c r="BB20" s="11"/>
      <c r="BC20" s="11"/>
      <c r="BD20" s="11"/>
      <c r="BE20" s="11"/>
      <c r="BF20" s="11"/>
      <c r="BG20" s="11"/>
      <c r="BH20" s="11"/>
    </row>
    <row r="21" spans="1:60" ht="5.0999999999999996" customHeight="1" x14ac:dyDescent="0.2">
      <c r="A21" s="10"/>
      <c r="B21" s="261"/>
      <c r="C21" s="14"/>
      <c r="D21" s="30"/>
      <c r="E21" s="272"/>
      <c r="F21" s="39"/>
      <c r="G21" s="7"/>
      <c r="H21" s="7"/>
      <c r="I21" s="15"/>
      <c r="AS21" s="11"/>
      <c r="AT21" s="11"/>
      <c r="AU21" s="11"/>
      <c r="AV21" s="11"/>
      <c r="AW21" s="11"/>
      <c r="AX21" s="11"/>
      <c r="AY21" s="11"/>
      <c r="AZ21" s="11"/>
      <c r="BA21" s="11"/>
      <c r="BB21" s="11"/>
      <c r="BC21" s="11"/>
      <c r="BD21" s="11"/>
      <c r="BE21" s="11"/>
      <c r="BF21" s="11"/>
      <c r="BG21" s="11"/>
      <c r="BH21" s="11"/>
    </row>
    <row r="22" spans="1:60" ht="26.25" thickBot="1" x14ac:dyDescent="0.25">
      <c r="A22" s="10"/>
      <c r="B22" s="261" t="s">
        <v>293</v>
      </c>
      <c r="C22" s="14"/>
      <c r="D22" s="30" t="s">
        <v>294</v>
      </c>
      <c r="E22" s="272">
        <v>0.8</v>
      </c>
      <c r="F22" s="39"/>
      <c r="G22" s="7" t="s">
        <v>14</v>
      </c>
      <c r="H22" s="7" t="s">
        <v>13</v>
      </c>
      <c r="I22" s="261" t="s">
        <v>633</v>
      </c>
      <c r="AS22" s="11"/>
      <c r="AT22" s="11"/>
      <c r="AU22" s="11"/>
      <c r="AV22" s="11"/>
      <c r="AW22" s="11"/>
      <c r="AX22" s="11"/>
      <c r="AY22" s="11"/>
      <c r="AZ22" s="11"/>
      <c r="BA22" s="11"/>
      <c r="BB22" s="11"/>
      <c r="BC22" s="11"/>
      <c r="BD22" s="11"/>
      <c r="BE22" s="11"/>
      <c r="BF22" s="11"/>
      <c r="BG22" s="11"/>
      <c r="BH22" s="11"/>
    </row>
    <row r="23" spans="1:60" ht="17.25" thickTop="1" thickBot="1" x14ac:dyDescent="0.25">
      <c r="A23" s="10"/>
      <c r="B23" s="128" t="s">
        <v>281</v>
      </c>
      <c r="C23" s="14"/>
      <c r="D23" s="30" t="s">
        <v>155</v>
      </c>
      <c r="E23" s="274"/>
      <c r="F23" s="208"/>
      <c r="G23" s="314" t="s">
        <v>912</v>
      </c>
      <c r="H23" s="7" t="s">
        <v>6</v>
      </c>
      <c r="I23" s="15"/>
      <c r="AS23" s="11"/>
      <c r="AT23" s="11"/>
      <c r="AU23" s="11"/>
      <c r="AV23" s="11"/>
      <c r="AW23" s="11"/>
      <c r="AX23" s="11"/>
      <c r="AY23" s="11"/>
      <c r="AZ23" s="11"/>
      <c r="BA23" s="11"/>
      <c r="BB23" s="11"/>
      <c r="BC23" s="11"/>
      <c r="BD23" s="11"/>
      <c r="BE23" s="11"/>
      <c r="BF23" s="11"/>
      <c r="BG23" s="11"/>
      <c r="BH23" s="11"/>
    </row>
    <row r="24" spans="1:60" ht="5.0999999999999996" customHeight="1" thickTop="1" x14ac:dyDescent="0.2">
      <c r="A24" s="10"/>
      <c r="B24" s="128"/>
      <c r="C24" s="14"/>
      <c r="D24" s="15"/>
      <c r="E24" s="275"/>
      <c r="F24" s="16"/>
      <c r="G24" s="7"/>
      <c r="H24" s="7"/>
      <c r="I24" s="15"/>
      <c r="AS24" s="11"/>
      <c r="AT24" s="11"/>
      <c r="AU24" s="11"/>
      <c r="AV24" s="11"/>
      <c r="AW24" s="11"/>
      <c r="AX24" s="11"/>
      <c r="AY24" s="11"/>
      <c r="AZ24" s="11"/>
      <c r="BA24" s="11"/>
      <c r="BB24" s="11"/>
      <c r="BC24" s="11"/>
      <c r="BD24" s="11"/>
      <c r="BE24" s="11"/>
      <c r="BF24" s="11"/>
      <c r="BG24" s="11"/>
      <c r="BH24" s="11"/>
    </row>
    <row r="25" spans="1:60" s="8" customFormat="1" ht="14.25" x14ac:dyDescent="0.2">
      <c r="B25" s="193" t="s">
        <v>286</v>
      </c>
      <c r="C25" s="34"/>
      <c r="D25" s="128" t="s">
        <v>158</v>
      </c>
      <c r="E25" s="274"/>
      <c r="F25" s="208"/>
      <c r="G25" s="7" t="s">
        <v>5</v>
      </c>
      <c r="H25" s="7" t="s">
        <v>6</v>
      </c>
      <c r="I25" s="34"/>
    </row>
    <row r="26" spans="1:60" s="8" customFormat="1" ht="5.0999999999999996" customHeight="1" x14ac:dyDescent="0.2">
      <c r="B26" s="193"/>
      <c r="C26" s="34"/>
      <c r="D26" s="22"/>
      <c r="E26" s="273"/>
      <c r="F26" s="7"/>
      <c r="G26" s="19"/>
      <c r="H26" s="7"/>
      <c r="I26" s="34"/>
    </row>
    <row r="27" spans="1:60" s="8" customFormat="1" ht="15" x14ac:dyDescent="0.2">
      <c r="B27" s="193" t="s">
        <v>159</v>
      </c>
      <c r="C27" s="34"/>
      <c r="D27" s="22" t="s">
        <v>160</v>
      </c>
      <c r="E27" s="274"/>
      <c r="F27" s="208"/>
      <c r="G27" s="7" t="s">
        <v>287</v>
      </c>
      <c r="H27" s="7" t="s">
        <v>6</v>
      </c>
      <c r="I27" s="92"/>
    </row>
    <row r="28" spans="1:60" s="8" customFormat="1" ht="5.0999999999999996" customHeight="1" x14ac:dyDescent="0.2">
      <c r="B28" s="128"/>
      <c r="C28" s="128"/>
      <c r="D28" s="30"/>
      <c r="E28" s="273"/>
      <c r="F28" s="7"/>
      <c r="G28" s="7"/>
      <c r="H28" s="7"/>
      <c r="I28" s="7"/>
    </row>
    <row r="29" spans="1:60" s="8" customFormat="1" ht="15" customHeight="1" x14ac:dyDescent="0.2">
      <c r="B29" s="193" t="s">
        <v>282</v>
      </c>
      <c r="C29" s="34"/>
      <c r="D29" s="128" t="s">
        <v>284</v>
      </c>
      <c r="E29" s="272">
        <v>0.05</v>
      </c>
      <c r="F29" s="39"/>
      <c r="G29" s="19" t="s">
        <v>5</v>
      </c>
      <c r="H29" s="7" t="s">
        <v>13</v>
      </c>
      <c r="I29" s="34"/>
    </row>
    <row r="30" spans="1:60" ht="5.0999999999999996" customHeight="1" x14ac:dyDescent="0.2">
      <c r="A30" s="10"/>
      <c r="B30" s="261"/>
      <c r="C30" s="14"/>
      <c r="D30" s="15"/>
      <c r="E30" s="275"/>
      <c r="F30" s="16"/>
      <c r="G30" s="16"/>
      <c r="H30" s="16"/>
      <c r="I30" s="15"/>
      <c r="AS30" s="11"/>
      <c r="AT30" s="11"/>
      <c r="AU30" s="11"/>
      <c r="AV30" s="11"/>
      <c r="AW30" s="11"/>
      <c r="AX30" s="11"/>
      <c r="AY30" s="11"/>
      <c r="AZ30" s="11"/>
      <c r="BA30" s="11"/>
      <c r="BB30" s="11"/>
      <c r="BC30" s="11"/>
      <c r="BD30" s="11"/>
      <c r="BE30" s="11"/>
      <c r="BF30" s="11"/>
      <c r="BG30" s="11"/>
      <c r="BH30" s="11"/>
    </row>
    <row r="31" spans="1:60" s="8" customFormat="1" x14ac:dyDescent="0.2">
      <c r="B31" s="261" t="s">
        <v>72</v>
      </c>
      <c r="C31" s="34"/>
      <c r="D31" s="261" t="s">
        <v>73</v>
      </c>
      <c r="E31" s="273">
        <v>30</v>
      </c>
      <c r="F31" s="7"/>
      <c r="G31" s="7" t="s">
        <v>10</v>
      </c>
      <c r="H31" s="7" t="s">
        <v>13</v>
      </c>
      <c r="I31" s="34"/>
    </row>
    <row r="32" spans="1:60" s="8" customFormat="1" ht="5.0999999999999996" customHeight="1" x14ac:dyDescent="0.2">
      <c r="B32" s="296"/>
      <c r="C32" s="34"/>
      <c r="D32" s="22"/>
      <c r="E32" s="273"/>
      <c r="F32" s="7"/>
      <c r="G32" s="19"/>
      <c r="H32" s="7"/>
      <c r="I32" s="34"/>
    </row>
    <row r="33" spans="1:44" s="8" customFormat="1" ht="40.5" x14ac:dyDescent="0.2">
      <c r="B33" s="296" t="s">
        <v>721</v>
      </c>
      <c r="C33" s="34"/>
      <c r="D33" s="22" t="s">
        <v>75</v>
      </c>
      <c r="E33" s="273">
        <v>365</v>
      </c>
      <c r="F33" s="7"/>
      <c r="G33" s="19" t="s">
        <v>10</v>
      </c>
      <c r="H33" s="7" t="s">
        <v>13</v>
      </c>
      <c r="I33" s="146" t="s">
        <v>966</v>
      </c>
    </row>
    <row r="34" spans="1:44" s="8" customFormat="1" ht="5.0999999999999996" customHeight="1" x14ac:dyDescent="0.2">
      <c r="B34" s="261"/>
      <c r="C34" s="34"/>
      <c r="D34" s="22"/>
      <c r="E34" s="273"/>
      <c r="F34" s="7"/>
      <c r="G34" s="19"/>
      <c r="H34" s="7"/>
      <c r="I34" s="34"/>
    </row>
    <row r="35" spans="1:44" s="8" customFormat="1" x14ac:dyDescent="0.2">
      <c r="B35" s="261" t="s">
        <v>74</v>
      </c>
      <c r="C35" s="34"/>
      <c r="D35" s="22" t="s">
        <v>676</v>
      </c>
      <c r="E35" s="273">
        <v>1825</v>
      </c>
      <c r="F35" s="7"/>
      <c r="G35" s="19" t="s">
        <v>10</v>
      </c>
      <c r="H35" s="7" t="s">
        <v>13</v>
      </c>
      <c r="I35" s="92" t="s">
        <v>635</v>
      </c>
    </row>
    <row r="36" spans="1:44" s="8" customFormat="1" ht="5.0999999999999996" customHeight="1" x14ac:dyDescent="0.2">
      <c r="B36" s="261"/>
      <c r="C36" s="261"/>
      <c r="D36" s="30"/>
      <c r="E36" s="273"/>
      <c r="F36" s="7"/>
      <c r="G36" s="19"/>
      <c r="H36" s="7"/>
      <c r="I36" s="7"/>
    </row>
    <row r="37" spans="1:44" s="8" customFormat="1" ht="27.75" x14ac:dyDescent="0.2">
      <c r="B37" s="261" t="s">
        <v>193</v>
      </c>
      <c r="C37" s="34"/>
      <c r="D37" s="261" t="s">
        <v>194</v>
      </c>
      <c r="E37" s="274"/>
      <c r="F37" s="7"/>
      <c r="G37" s="19" t="s">
        <v>813</v>
      </c>
      <c r="H37" s="7" t="s">
        <v>6</v>
      </c>
      <c r="I37" s="34"/>
    </row>
    <row r="38" spans="1:44" s="8" customFormat="1" ht="5.0999999999999996" customHeight="1" x14ac:dyDescent="0.2">
      <c r="B38" s="296"/>
      <c r="C38" s="34"/>
      <c r="D38" s="22"/>
      <c r="E38" s="273"/>
      <c r="F38" s="7"/>
      <c r="G38" s="19"/>
      <c r="H38" s="7"/>
      <c r="I38" s="34"/>
    </row>
    <row r="39" spans="1:44" s="8" customFormat="1" ht="27.75" x14ac:dyDescent="0.2">
      <c r="B39" s="296" t="s">
        <v>761</v>
      </c>
      <c r="C39" s="34"/>
      <c r="D39" s="296" t="s">
        <v>196</v>
      </c>
      <c r="E39" s="274"/>
      <c r="F39" s="7"/>
      <c r="G39" s="19" t="s">
        <v>813</v>
      </c>
      <c r="H39" s="7" t="s">
        <v>6</v>
      </c>
      <c r="I39" s="92"/>
    </row>
    <row r="40" spans="1:44" s="8" customFormat="1" ht="5.0999999999999996" customHeight="1" x14ac:dyDescent="0.2">
      <c r="B40" s="261"/>
      <c r="C40" s="34"/>
      <c r="D40" s="22"/>
      <c r="E40" s="273"/>
      <c r="F40" s="7"/>
      <c r="G40" s="19"/>
      <c r="H40" s="7"/>
      <c r="I40" s="34"/>
    </row>
    <row r="41" spans="1:44" s="8" customFormat="1" ht="27.75" x14ac:dyDescent="0.2">
      <c r="B41" s="261" t="s">
        <v>195</v>
      </c>
      <c r="C41" s="34"/>
      <c r="D41" s="261" t="s">
        <v>684</v>
      </c>
      <c r="E41" s="274"/>
      <c r="F41" s="7"/>
      <c r="G41" s="19" t="s">
        <v>813</v>
      </c>
      <c r="H41" s="7" t="s">
        <v>6</v>
      </c>
      <c r="I41" s="92"/>
    </row>
    <row r="42" spans="1:44" s="8" customFormat="1" ht="5.0999999999999996" customHeight="1" x14ac:dyDescent="0.2">
      <c r="B42" s="261"/>
      <c r="C42" s="34"/>
      <c r="D42" s="22"/>
      <c r="E42" s="273"/>
      <c r="F42" s="7"/>
      <c r="G42" s="19"/>
      <c r="H42" s="7"/>
      <c r="I42" s="34"/>
    </row>
    <row r="43" spans="1:44" s="8" customFormat="1" ht="15" x14ac:dyDescent="0.2">
      <c r="B43" s="261" t="s">
        <v>283</v>
      </c>
      <c r="C43" s="34"/>
      <c r="D43" s="261" t="s">
        <v>23</v>
      </c>
      <c r="E43" s="272">
        <v>2.97</v>
      </c>
      <c r="F43" s="39"/>
      <c r="G43" s="19" t="s">
        <v>285</v>
      </c>
      <c r="H43" s="7" t="s">
        <v>13</v>
      </c>
      <c r="I43" s="92"/>
    </row>
    <row r="44" spans="1:44" s="8" customFormat="1" ht="5.0999999999999996" customHeight="1" x14ac:dyDescent="0.2">
      <c r="B44" s="261"/>
      <c r="C44" s="34"/>
      <c r="D44" s="22"/>
      <c r="E44" s="273"/>
      <c r="F44" s="7"/>
      <c r="G44" s="19"/>
      <c r="H44" s="7"/>
      <c r="I44" s="34"/>
    </row>
    <row r="45" spans="1:44" s="8" customFormat="1" ht="15" x14ac:dyDescent="0.2">
      <c r="B45" s="261" t="s">
        <v>25</v>
      </c>
      <c r="C45" s="34"/>
      <c r="D45" s="22" t="s">
        <v>30</v>
      </c>
      <c r="E45" s="272">
        <v>1700</v>
      </c>
      <c r="F45" s="39"/>
      <c r="G45" s="7" t="s">
        <v>26</v>
      </c>
      <c r="H45" s="7" t="s">
        <v>13</v>
      </c>
      <c r="I45" s="107"/>
    </row>
    <row r="46" spans="1:44" s="75" customFormat="1" x14ac:dyDescent="0.2">
      <c r="A46" s="73"/>
      <c r="B46" s="330"/>
      <c r="C46" s="29"/>
      <c r="D46" s="29"/>
      <c r="E46" s="7"/>
      <c r="F46" s="16"/>
      <c r="G46" s="19"/>
      <c r="H46" s="19"/>
      <c r="I46" s="41"/>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row>
    <row r="47" spans="1:44" s="8" customFormat="1" x14ac:dyDescent="0.2">
      <c r="B47" s="244" t="s">
        <v>558</v>
      </c>
      <c r="C47" s="244"/>
      <c r="D47" s="34"/>
      <c r="E47" s="22"/>
      <c r="F47" s="7"/>
      <c r="G47" s="19"/>
      <c r="H47" s="7"/>
      <c r="I47" s="34"/>
    </row>
    <row r="48" spans="1:44" s="8" customFormat="1" x14ac:dyDescent="0.2">
      <c r="B48" s="329"/>
      <c r="C48" s="329"/>
      <c r="D48" s="34"/>
      <c r="E48" s="22"/>
      <c r="F48" s="7"/>
      <c r="G48" s="19"/>
      <c r="H48" s="7"/>
      <c r="I48" s="34"/>
    </row>
    <row r="49" spans="1:60" s="8" customFormat="1" ht="15" x14ac:dyDescent="0.2">
      <c r="B49" s="362" t="s">
        <v>448</v>
      </c>
      <c r="C49" s="362"/>
      <c r="D49" s="30" t="s">
        <v>449</v>
      </c>
      <c r="E49" s="274"/>
      <c r="F49" s="7"/>
      <c r="G49" s="7" t="s">
        <v>450</v>
      </c>
      <c r="H49" s="7" t="s">
        <v>6</v>
      </c>
      <c r="I49" s="34"/>
    </row>
    <row r="50" spans="1:60" s="8" customFormat="1" ht="5.0999999999999996" customHeight="1" x14ac:dyDescent="0.2">
      <c r="B50" s="329"/>
      <c r="C50" s="329"/>
      <c r="D50" s="331"/>
      <c r="E50" s="273"/>
      <c r="F50" s="7"/>
      <c r="G50" s="19"/>
      <c r="H50" s="7"/>
      <c r="I50" s="34"/>
    </row>
    <row r="51" spans="1:60" s="8" customFormat="1" ht="17.25" customHeight="1" x14ac:dyDescent="0.2">
      <c r="B51" s="362" t="s">
        <v>442</v>
      </c>
      <c r="C51" s="362"/>
      <c r="D51" s="41" t="s">
        <v>653</v>
      </c>
      <c r="E51" s="326"/>
      <c r="F51" s="7"/>
      <c r="G51" s="19" t="s">
        <v>443</v>
      </c>
      <c r="H51" s="7" t="s">
        <v>6</v>
      </c>
      <c r="I51" s="34"/>
    </row>
    <row r="52" spans="1:60" s="75" customFormat="1" x14ac:dyDescent="0.2">
      <c r="A52" s="73"/>
      <c r="B52" s="330"/>
      <c r="C52" s="29"/>
      <c r="D52" s="29"/>
      <c r="E52" s="7"/>
      <c r="F52" s="16"/>
      <c r="G52" s="19"/>
      <c r="H52" s="19"/>
      <c r="I52" s="41"/>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row>
    <row r="53" spans="1:60" ht="15" x14ac:dyDescent="0.2">
      <c r="A53" s="10"/>
      <c r="B53" s="4" t="s">
        <v>1</v>
      </c>
      <c r="C53" s="4"/>
      <c r="D53" s="4"/>
      <c r="E53" s="12"/>
      <c r="F53" s="12"/>
      <c r="G53" s="12"/>
      <c r="H53" s="12"/>
      <c r="I53" s="12"/>
      <c r="AT53" s="11"/>
      <c r="AU53" s="11"/>
      <c r="AV53" s="11"/>
      <c r="AW53" s="11"/>
      <c r="AX53" s="11"/>
      <c r="AY53" s="11"/>
      <c r="AZ53" s="11"/>
      <c r="BA53" s="11"/>
      <c r="BB53" s="11"/>
      <c r="BC53" s="11"/>
      <c r="BD53" s="11"/>
      <c r="BE53" s="11"/>
      <c r="BF53" s="11"/>
      <c r="BG53" s="11"/>
      <c r="BH53" s="11"/>
    </row>
    <row r="54" spans="1:60" x14ac:dyDescent="0.2">
      <c r="A54" s="10"/>
      <c r="B54" s="6"/>
      <c r="C54" s="6"/>
      <c r="D54" s="6"/>
      <c r="E54" s="6"/>
      <c r="F54" s="6"/>
      <c r="G54" s="6"/>
      <c r="H54" s="6"/>
      <c r="I54" s="6"/>
      <c r="AT54" s="11"/>
      <c r="AU54" s="11"/>
      <c r="AV54" s="11"/>
      <c r="AW54" s="11"/>
      <c r="AX54" s="11"/>
      <c r="AY54" s="11"/>
      <c r="AZ54" s="11"/>
      <c r="BA54" s="11"/>
      <c r="BB54" s="11"/>
      <c r="BC54" s="11"/>
      <c r="BD54" s="11"/>
      <c r="BE54" s="11"/>
      <c r="BF54" s="11"/>
      <c r="BG54" s="11"/>
      <c r="BH54" s="11"/>
    </row>
    <row r="55" spans="1:60" ht="15" x14ac:dyDescent="0.2">
      <c r="A55" s="10"/>
      <c r="B55" s="14" t="s">
        <v>2</v>
      </c>
      <c r="C55" s="14"/>
      <c r="D55" s="15" t="s">
        <v>4</v>
      </c>
      <c r="E55" s="16" t="s">
        <v>7</v>
      </c>
      <c r="F55" s="16"/>
      <c r="G55" s="16" t="s">
        <v>3</v>
      </c>
      <c r="H55" s="16" t="s">
        <v>11</v>
      </c>
      <c r="I55" s="15" t="s">
        <v>34</v>
      </c>
      <c r="AT55" s="11"/>
      <c r="AU55" s="11"/>
      <c r="AV55" s="11"/>
      <c r="AW55" s="11"/>
      <c r="AX55" s="11"/>
      <c r="AY55" s="11"/>
      <c r="AZ55" s="11"/>
      <c r="BA55" s="11"/>
      <c r="BB55" s="11"/>
      <c r="BC55" s="11"/>
      <c r="BD55" s="11"/>
      <c r="BE55" s="11"/>
      <c r="BF55" s="11"/>
      <c r="BG55" s="11"/>
      <c r="BH55" s="11"/>
    </row>
    <row r="56" spans="1:60" x14ac:dyDescent="0.2">
      <c r="A56" s="10"/>
      <c r="B56" s="14"/>
      <c r="C56" s="14"/>
      <c r="D56" s="15"/>
      <c r="E56" s="16"/>
      <c r="F56" s="16"/>
      <c r="G56" s="16"/>
      <c r="H56" s="16"/>
      <c r="I56" s="15"/>
      <c r="AT56" s="11"/>
      <c r="AU56" s="11"/>
      <c r="AV56" s="11"/>
      <c r="AW56" s="11"/>
      <c r="AX56" s="11"/>
      <c r="AY56" s="11"/>
      <c r="AZ56" s="11"/>
      <c r="BA56" s="11"/>
      <c r="BB56" s="11"/>
      <c r="BC56" s="11"/>
      <c r="BD56" s="11"/>
      <c r="BE56" s="11"/>
      <c r="BF56" s="11"/>
      <c r="BG56" s="11"/>
      <c r="BH56" s="11"/>
    </row>
    <row r="57" spans="1:60" x14ac:dyDescent="0.2">
      <c r="A57" s="10"/>
      <c r="B57" s="121" t="s">
        <v>631</v>
      </c>
      <c r="C57" s="14"/>
      <c r="D57" s="15"/>
      <c r="E57" s="16"/>
      <c r="F57" s="16"/>
      <c r="G57" s="16"/>
      <c r="H57" s="16"/>
      <c r="I57" s="15"/>
      <c r="AT57" s="11"/>
      <c r="AU57" s="11"/>
      <c r="AV57" s="11"/>
      <c r="AW57" s="11"/>
      <c r="AX57" s="11"/>
      <c r="AY57" s="11"/>
      <c r="AZ57" s="11"/>
      <c r="BA57" s="11"/>
      <c r="BB57" s="11"/>
      <c r="BC57" s="11"/>
      <c r="BD57" s="11"/>
      <c r="BE57" s="11"/>
      <c r="BF57" s="11"/>
      <c r="BG57" s="11"/>
      <c r="BH57" s="11"/>
    </row>
    <row r="58" spans="1:60" x14ac:dyDescent="0.2">
      <c r="A58" s="10"/>
      <c r="B58" s="14"/>
      <c r="C58" s="14"/>
      <c r="D58" s="15"/>
      <c r="E58" s="16"/>
      <c r="F58" s="16"/>
      <c r="G58" s="16"/>
      <c r="H58" s="16"/>
      <c r="I58" s="15"/>
      <c r="AT58" s="11"/>
      <c r="AU58" s="11"/>
      <c r="AV58" s="11"/>
      <c r="AW58" s="11"/>
      <c r="AX58" s="11"/>
      <c r="AY58" s="11"/>
      <c r="AZ58" s="11"/>
      <c r="BA58" s="11"/>
      <c r="BB58" s="11"/>
      <c r="BC58" s="11"/>
      <c r="BD58" s="11"/>
      <c r="BE58" s="11"/>
      <c r="BF58" s="11"/>
      <c r="BG58" s="11"/>
      <c r="BH58" s="11"/>
    </row>
    <row r="59" spans="1:60" s="8" customFormat="1" ht="61.5" x14ac:dyDescent="0.2">
      <c r="A59" s="10"/>
      <c r="B59" s="362" t="s">
        <v>288</v>
      </c>
      <c r="C59" s="362"/>
      <c r="D59" s="30" t="s">
        <v>289</v>
      </c>
      <c r="E59" s="228" t="str">
        <f>IF(AND(ISNUMBER(Qapplic_product_inj),ISNUMBER(fai_inj),ISNUMBER(RHOproduct_inj),G23='Pick-lists &amp; Defaults'!B68),AREApole_inj*Qapplic_product_inj*fai_inj*RHOproduct_inj*Fsoil_inj*1000,IF(AND(ISNUMBER(Qapplic_product_inj),ISNUMBER(fai_inj),G23='Pick-lists &amp; Defaults'!B67),AREApole_inj*Qapplic_product_inj*fai_inj*Fsoil_inj*1000000,"??"))</f>
        <v>??</v>
      </c>
      <c r="F59" s="16"/>
      <c r="G59" s="19" t="s">
        <v>814</v>
      </c>
      <c r="H59" s="19" t="s">
        <v>8</v>
      </c>
      <c r="I59" s="200" t="s">
        <v>908</v>
      </c>
    </row>
    <row r="60" spans="1:60" s="8" customFormat="1" ht="5.0999999999999996" customHeight="1" x14ac:dyDescent="0.2">
      <c r="A60" s="10"/>
      <c r="B60" s="140"/>
      <c r="C60" s="140"/>
      <c r="D60" s="30"/>
      <c r="E60" s="7"/>
      <c r="F60" s="16"/>
      <c r="G60" s="19"/>
      <c r="H60" s="19"/>
      <c r="I60" s="308"/>
    </row>
    <row r="61" spans="1:60" s="8" customFormat="1" x14ac:dyDescent="0.2">
      <c r="A61" s="10"/>
      <c r="B61" s="128"/>
      <c r="C61" s="128"/>
      <c r="D61" s="30"/>
      <c r="E61" s="30"/>
      <c r="F61" s="16"/>
      <c r="G61" s="19"/>
      <c r="H61" s="19"/>
      <c r="I61" s="41"/>
    </row>
    <row r="62" spans="1:60" s="8" customFormat="1" x14ac:dyDescent="0.2">
      <c r="A62" s="10"/>
      <c r="B62" s="121" t="s">
        <v>632</v>
      </c>
      <c r="C62" s="128"/>
      <c r="D62" s="30"/>
      <c r="E62" s="30"/>
      <c r="F62" s="30"/>
      <c r="G62" s="29"/>
      <c r="H62" s="19"/>
      <c r="I62" s="19"/>
    </row>
    <row r="63" spans="1:60" x14ac:dyDescent="0.2">
      <c r="A63" s="10"/>
      <c r="B63" s="14"/>
      <c r="C63" s="14"/>
      <c r="D63" s="15"/>
      <c r="E63" s="16"/>
      <c r="F63" s="16"/>
      <c r="G63" s="306"/>
      <c r="H63" s="306"/>
      <c r="I63" s="309"/>
      <c r="AT63" s="11"/>
      <c r="AU63" s="11"/>
      <c r="AV63" s="11"/>
      <c r="AW63" s="11"/>
      <c r="AX63" s="11"/>
      <c r="AY63" s="11"/>
      <c r="AZ63" s="11"/>
      <c r="BA63" s="11"/>
      <c r="BB63" s="11"/>
      <c r="BC63" s="11"/>
      <c r="BD63" s="11"/>
      <c r="BE63" s="11"/>
      <c r="BF63" s="11"/>
      <c r="BG63" s="11"/>
      <c r="BH63" s="11"/>
    </row>
    <row r="64" spans="1:60" s="8" customFormat="1" ht="25.5" customHeight="1" x14ac:dyDescent="0.2">
      <c r="A64" s="10"/>
      <c r="B64" s="362" t="s">
        <v>198</v>
      </c>
      <c r="C64" s="362"/>
      <c r="D64" s="30" t="s">
        <v>202</v>
      </c>
      <c r="E64" s="228" t="str">
        <f>IF(ISNUMBER(Q_leach_TIME1),AREApole_below*Q_leach_TIME1,"??")</f>
        <v>??</v>
      </c>
      <c r="F64" s="16"/>
      <c r="G64" s="19" t="s">
        <v>794</v>
      </c>
      <c r="H64" s="19" t="s">
        <v>8</v>
      </c>
      <c r="I64" s="308" t="s">
        <v>840</v>
      </c>
    </row>
    <row r="65" spans="1:44" s="8" customFormat="1" ht="5.0999999999999996" customHeight="1" x14ac:dyDescent="0.2">
      <c r="A65" s="10"/>
      <c r="B65" s="296"/>
      <c r="C65" s="296"/>
      <c r="D65" s="30"/>
      <c r="E65" s="30"/>
      <c r="F65" s="16"/>
      <c r="G65" s="19"/>
      <c r="H65" s="19"/>
      <c r="I65" s="41"/>
    </row>
    <row r="66" spans="1:44" s="8" customFormat="1" ht="29.25" customHeight="1" x14ac:dyDescent="0.2">
      <c r="A66" s="10"/>
      <c r="B66" s="362" t="s">
        <v>763</v>
      </c>
      <c r="C66" s="362"/>
      <c r="D66" s="30" t="s">
        <v>203</v>
      </c>
      <c r="E66" s="228" t="str">
        <f>IF(ISNUMBER(Q_leach_TIME2),AREApole_below*Q_leach_TIME2,"??")</f>
        <v>??</v>
      </c>
      <c r="F66" s="16"/>
      <c r="G66" s="19" t="s">
        <v>794</v>
      </c>
      <c r="H66" s="19" t="s">
        <v>8</v>
      </c>
      <c r="I66" s="308" t="s">
        <v>841</v>
      </c>
    </row>
    <row r="67" spans="1:44" s="8" customFormat="1" ht="5.0999999999999996" customHeight="1" x14ac:dyDescent="0.2">
      <c r="A67" s="10"/>
      <c r="B67" s="128"/>
      <c r="C67" s="128"/>
      <c r="D67" s="30"/>
      <c r="E67" s="30"/>
      <c r="F67" s="16"/>
      <c r="G67" s="19"/>
      <c r="H67" s="19"/>
      <c r="I67" s="41"/>
    </row>
    <row r="68" spans="1:44" s="8" customFormat="1" ht="29.25" customHeight="1" x14ac:dyDescent="0.2">
      <c r="A68" s="10"/>
      <c r="B68" s="362" t="s">
        <v>199</v>
      </c>
      <c r="C68" s="362"/>
      <c r="D68" s="30" t="s">
        <v>678</v>
      </c>
      <c r="E68" s="228" t="str">
        <f>IF(ISNUMBER(Q_leach_TIME3),AREApole_below*Q_leach_TIME3,"??")</f>
        <v>??</v>
      </c>
      <c r="F68" s="16"/>
      <c r="G68" s="19" t="s">
        <v>794</v>
      </c>
      <c r="H68" s="19" t="s">
        <v>8</v>
      </c>
      <c r="I68" s="308" t="s">
        <v>842</v>
      </c>
    </row>
    <row r="69" spans="1:44" s="8" customFormat="1" x14ac:dyDescent="0.2">
      <c r="A69" s="10"/>
      <c r="B69" s="346"/>
      <c r="C69" s="346"/>
      <c r="D69" s="30"/>
      <c r="E69" s="19"/>
      <c r="F69" s="16"/>
      <c r="G69" s="19"/>
      <c r="H69" s="19"/>
      <c r="I69" s="308"/>
    </row>
    <row r="70" spans="1:44" s="75" customFormat="1" ht="34.5" customHeight="1" x14ac:dyDescent="0.2">
      <c r="A70" s="73"/>
      <c r="B70" s="362" t="s">
        <v>491</v>
      </c>
      <c r="C70" s="362"/>
      <c r="D70" s="30" t="s">
        <v>452</v>
      </c>
      <c r="E70" s="228">
        <f>IFERROR(AREApole_below*Q_leach_TIME1/TIME1,"??")</f>
        <v>0</v>
      </c>
      <c r="F70" s="7"/>
      <c r="G70" s="19" t="s">
        <v>814</v>
      </c>
      <c r="H70" s="7" t="s">
        <v>8</v>
      </c>
      <c r="I70" s="146" t="s">
        <v>916</v>
      </c>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row>
    <row r="71" spans="1:44" s="75" customFormat="1" ht="3" customHeight="1" x14ac:dyDescent="0.2">
      <c r="A71" s="73"/>
      <c r="B71" s="329"/>
      <c r="C71" s="329"/>
      <c r="D71" s="30"/>
      <c r="E71" s="7"/>
      <c r="F71" s="7"/>
      <c r="G71" s="19"/>
      <c r="H71" s="7"/>
      <c r="I71" s="146"/>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row>
    <row r="72" spans="1:44" s="75" customFormat="1" ht="34.5" customHeight="1" x14ac:dyDescent="0.2">
      <c r="A72" s="73"/>
      <c r="B72" s="362" t="s">
        <v>688</v>
      </c>
      <c r="C72" s="362"/>
      <c r="D72" s="30" t="s">
        <v>453</v>
      </c>
      <c r="E72" s="228">
        <f>IFERROR(AREApole_below*Q_leach_TIME2/TIME2,"??")</f>
        <v>0</v>
      </c>
      <c r="F72" s="7"/>
      <c r="G72" s="19" t="s">
        <v>814</v>
      </c>
      <c r="H72" s="7" t="s">
        <v>8</v>
      </c>
      <c r="I72" s="146" t="s">
        <v>917</v>
      </c>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row>
    <row r="73" spans="1:44" s="75" customFormat="1" ht="3" customHeight="1" x14ac:dyDescent="0.2">
      <c r="A73" s="73"/>
      <c r="B73" s="329"/>
      <c r="C73" s="329"/>
      <c r="D73" s="30"/>
      <c r="E73" s="7"/>
      <c r="F73" s="7"/>
      <c r="G73" s="19"/>
      <c r="H73" s="7"/>
      <c r="I73" s="146"/>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row>
    <row r="74" spans="1:44" s="75" customFormat="1" ht="34.5" customHeight="1" x14ac:dyDescent="0.2">
      <c r="A74" s="73"/>
      <c r="B74" s="362" t="s">
        <v>492</v>
      </c>
      <c r="C74" s="362"/>
      <c r="D74" s="30" t="s">
        <v>689</v>
      </c>
      <c r="E74" s="228">
        <f>IFERROR(AREApole_below*Q_leach_TIME3/TIME3,"??")</f>
        <v>0</v>
      </c>
      <c r="F74" s="7"/>
      <c r="G74" s="19" t="s">
        <v>814</v>
      </c>
      <c r="H74" s="7" t="s">
        <v>8</v>
      </c>
      <c r="I74" s="146" t="s">
        <v>918</v>
      </c>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row>
    <row r="75" spans="1:44" s="75" customFormat="1" x14ac:dyDescent="0.2">
      <c r="A75" s="73"/>
      <c r="B75" s="347"/>
      <c r="C75" s="29"/>
      <c r="D75" s="29"/>
      <c r="E75" s="19"/>
      <c r="F75" s="16"/>
      <c r="G75" s="19"/>
      <c r="H75" s="19"/>
      <c r="I75" s="41"/>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row>
    <row r="76" spans="1:44" s="75" customFormat="1" ht="15" x14ac:dyDescent="0.2">
      <c r="A76" s="73"/>
      <c r="B76" s="382" t="s">
        <v>597</v>
      </c>
      <c r="C76" s="382"/>
      <c r="D76" s="382"/>
      <c r="E76" s="382"/>
      <c r="F76" s="382"/>
      <c r="G76" s="382"/>
      <c r="H76" s="382"/>
      <c r="I76" s="382"/>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row>
    <row r="77" spans="1:44" s="75" customFormat="1" x14ac:dyDescent="0.2">
      <c r="A77" s="73"/>
      <c r="B77" s="347"/>
      <c r="C77" s="29"/>
      <c r="D77" s="29"/>
      <c r="E77" s="19"/>
      <c r="F77" s="16"/>
      <c r="G77" s="19"/>
      <c r="H77" s="19"/>
      <c r="I77" s="41"/>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row>
    <row r="78" spans="1:44" s="75" customFormat="1" x14ac:dyDescent="0.2">
      <c r="A78" s="73"/>
      <c r="B78" s="121" t="s">
        <v>971</v>
      </c>
      <c r="C78" s="29"/>
      <c r="D78" s="29"/>
      <c r="E78" s="19"/>
      <c r="F78" s="16"/>
      <c r="G78" s="19"/>
      <c r="H78" s="19"/>
      <c r="I78" s="41"/>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row>
    <row r="79" spans="1:44" s="75" customFormat="1" x14ac:dyDescent="0.2">
      <c r="A79" s="73"/>
      <c r="B79" s="121"/>
      <c r="C79" s="29"/>
      <c r="D79" s="29"/>
      <c r="E79" s="19"/>
      <c r="F79" s="16"/>
      <c r="G79" s="19"/>
      <c r="H79" s="19"/>
      <c r="I79" s="41"/>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row>
    <row r="80" spans="1:44" s="8" customFormat="1" ht="15" x14ac:dyDescent="0.2">
      <c r="A80" s="10"/>
      <c r="B80" s="362" t="s">
        <v>290</v>
      </c>
      <c r="C80" s="362"/>
      <c r="D80" s="30" t="s">
        <v>291</v>
      </c>
      <c r="E80" s="228" t="str">
        <f>IF(ISNUMBER(Esoil_inj),Esoil_inj/(Vsoil*RHOsoil),"??")</f>
        <v>??</v>
      </c>
      <c r="F80" s="16"/>
      <c r="G80" s="19" t="s">
        <v>807</v>
      </c>
      <c r="H80" s="19" t="s">
        <v>8</v>
      </c>
      <c r="I80" s="308" t="s">
        <v>839</v>
      </c>
    </row>
    <row r="81" spans="1:60" s="8" customFormat="1" ht="3" customHeight="1" x14ac:dyDescent="0.2">
      <c r="A81" s="10"/>
      <c r="B81" s="346"/>
      <c r="C81" s="346"/>
      <c r="D81" s="30"/>
      <c r="E81" s="30"/>
      <c r="F81" s="16"/>
      <c r="G81" s="19"/>
      <c r="H81" s="19"/>
      <c r="I81" s="308"/>
    </row>
    <row r="82" spans="1:60" s="8" customFormat="1" x14ac:dyDescent="0.2">
      <c r="A82" s="10"/>
      <c r="B82" s="346"/>
      <c r="C82" s="346"/>
      <c r="D82" s="30"/>
      <c r="E82" s="30"/>
      <c r="F82" s="16"/>
      <c r="G82" s="19"/>
      <c r="H82" s="19"/>
      <c r="I82" s="308"/>
    </row>
    <row r="83" spans="1:60" s="8" customFormat="1" x14ac:dyDescent="0.2">
      <c r="A83" s="10"/>
      <c r="B83" s="121" t="s">
        <v>972</v>
      </c>
      <c r="C83" s="346"/>
      <c r="D83" s="30"/>
      <c r="E83" s="30"/>
      <c r="F83" s="16"/>
      <c r="G83" s="19"/>
      <c r="H83" s="19"/>
      <c r="I83" s="308"/>
    </row>
    <row r="84" spans="1:60" s="8" customFormat="1" x14ac:dyDescent="0.2">
      <c r="A84" s="10"/>
      <c r="B84" s="346"/>
      <c r="C84" s="346"/>
      <c r="D84" s="30"/>
      <c r="E84" s="30"/>
      <c r="F84" s="16"/>
      <c r="G84" s="19"/>
      <c r="H84" s="19"/>
      <c r="I84" s="308"/>
    </row>
    <row r="85" spans="1:60" s="8" customFormat="1" ht="27.95" customHeight="1" x14ac:dyDescent="0.2">
      <c r="A85" s="10"/>
      <c r="B85" s="362" t="s">
        <v>200</v>
      </c>
      <c r="C85" s="362"/>
      <c r="D85" s="30" t="s">
        <v>204</v>
      </c>
      <c r="E85" s="228" t="str">
        <f>IF(ISNUMBER(QleachTIME1),QleachTIME1/(Vsoil*RHOsoil),"??")</f>
        <v>??</v>
      </c>
      <c r="F85" s="16"/>
      <c r="G85" s="19" t="s">
        <v>807</v>
      </c>
      <c r="H85" s="19" t="s">
        <v>8</v>
      </c>
      <c r="I85" s="41" t="s">
        <v>843</v>
      </c>
    </row>
    <row r="86" spans="1:60" s="8" customFormat="1" ht="3" customHeight="1" x14ac:dyDescent="0.2">
      <c r="A86" s="10"/>
      <c r="B86" s="296"/>
      <c r="C86" s="296"/>
      <c r="D86" s="30"/>
      <c r="E86" s="30"/>
      <c r="F86" s="16"/>
      <c r="G86" s="19"/>
      <c r="H86" s="19"/>
      <c r="I86" s="41"/>
    </row>
    <row r="87" spans="1:60" s="8" customFormat="1" ht="27.95" customHeight="1" x14ac:dyDescent="0.2">
      <c r="A87" s="10"/>
      <c r="B87" s="362" t="s">
        <v>769</v>
      </c>
      <c r="C87" s="362"/>
      <c r="D87" s="30" t="s">
        <v>205</v>
      </c>
      <c r="E87" s="228" t="str">
        <f>IF(ISNUMBER(QleachTIME2),QleachTIME2/(Vsoil*RHOsoil),"??")</f>
        <v>??</v>
      </c>
      <c r="F87" s="16"/>
      <c r="G87" s="19" t="s">
        <v>807</v>
      </c>
      <c r="H87" s="19" t="s">
        <v>8</v>
      </c>
      <c r="I87" s="41" t="s">
        <v>844</v>
      </c>
    </row>
    <row r="88" spans="1:60" s="8" customFormat="1" ht="3" customHeight="1" x14ac:dyDescent="0.2">
      <c r="A88" s="10"/>
      <c r="B88" s="128"/>
      <c r="C88" s="128"/>
      <c r="D88" s="30"/>
      <c r="E88" s="30"/>
      <c r="F88" s="16"/>
      <c r="G88" s="19"/>
      <c r="H88" s="19"/>
      <c r="I88" s="41"/>
    </row>
    <row r="89" spans="1:60" s="8" customFormat="1" ht="27.95" customHeight="1" x14ac:dyDescent="0.2">
      <c r="A89" s="10"/>
      <c r="B89" s="362" t="s">
        <v>201</v>
      </c>
      <c r="C89" s="362"/>
      <c r="D89" s="30" t="s">
        <v>681</v>
      </c>
      <c r="E89" s="228" t="str">
        <f>IF(ISNUMBER(QleachTIME3),QleachTIME3/(Vsoil*RHOsoil),"??")</f>
        <v>??</v>
      </c>
      <c r="F89" s="16"/>
      <c r="G89" s="19" t="s">
        <v>807</v>
      </c>
      <c r="H89" s="19" t="s">
        <v>8</v>
      </c>
      <c r="I89" s="41" t="s">
        <v>845</v>
      </c>
    </row>
    <row r="90" spans="1:60" s="8" customFormat="1" x14ac:dyDescent="0.2">
      <c r="A90" s="10"/>
      <c r="B90" s="346"/>
      <c r="C90" s="346"/>
      <c r="D90" s="30"/>
      <c r="E90" s="30"/>
      <c r="F90" s="16"/>
      <c r="G90" s="19"/>
      <c r="H90" s="19"/>
      <c r="I90" s="41"/>
    </row>
    <row r="91" spans="1:60" s="8" customFormat="1" x14ac:dyDescent="0.2">
      <c r="A91" s="10"/>
      <c r="B91" s="121" t="s">
        <v>970</v>
      </c>
      <c r="C91" s="128"/>
      <c r="D91" s="30"/>
      <c r="E91" s="30"/>
      <c r="F91" s="30"/>
      <c r="G91" s="29"/>
      <c r="H91" s="19"/>
      <c r="I91" s="19"/>
    </row>
    <row r="92" spans="1:60" x14ac:dyDescent="0.2">
      <c r="A92" s="10"/>
      <c r="B92" s="128"/>
      <c r="C92" s="14"/>
      <c r="D92" s="15"/>
      <c r="E92" s="16"/>
      <c r="F92" s="16"/>
      <c r="G92" s="306"/>
      <c r="H92" s="306"/>
      <c r="I92" s="309"/>
      <c r="AS92" s="11"/>
      <c r="AT92" s="11"/>
      <c r="AU92" s="11"/>
      <c r="AV92" s="11"/>
      <c r="AW92" s="11"/>
      <c r="AX92" s="11"/>
      <c r="AY92" s="11"/>
      <c r="AZ92" s="11"/>
      <c r="BA92" s="11"/>
      <c r="BB92" s="11"/>
      <c r="BC92" s="11"/>
      <c r="BD92" s="11"/>
      <c r="BE92" s="11"/>
      <c r="BF92" s="11"/>
      <c r="BG92" s="11"/>
      <c r="BH92" s="11"/>
    </row>
    <row r="93" spans="1:60" s="75" customFormat="1" ht="38.25" x14ac:dyDescent="0.2">
      <c r="A93" s="73"/>
      <c r="B93" s="196" t="s">
        <v>212</v>
      </c>
      <c r="C93" s="29"/>
      <c r="D93" s="29" t="s">
        <v>210</v>
      </c>
      <c r="E93" s="228" t="str">
        <f>IF(AND(ISNUMBER(Clocal_soil_inj),ISNUMBER(Clocal_soil_leach_TIME1)),Clocal_soil_inj+Clocal_soil_leach_TIME1,"??")</f>
        <v>??</v>
      </c>
      <c r="F93" s="16"/>
      <c r="G93" s="19" t="s">
        <v>807</v>
      </c>
      <c r="H93" s="19" t="s">
        <v>8</v>
      </c>
      <c r="I93" s="41" t="s">
        <v>299</v>
      </c>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row>
    <row r="94" spans="1:60" s="75" customFormat="1" ht="5.0999999999999996" customHeight="1" x14ac:dyDescent="0.2">
      <c r="A94" s="73"/>
      <c r="B94" s="29"/>
      <c r="C94" s="29"/>
      <c r="D94" s="29"/>
      <c r="E94" s="19"/>
      <c r="F94" s="16"/>
      <c r="G94" s="19"/>
      <c r="H94" s="19"/>
      <c r="I94" s="41"/>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row>
    <row r="95" spans="1:60" s="75" customFormat="1" ht="38.25" x14ac:dyDescent="0.2">
      <c r="A95" s="73"/>
      <c r="B95" s="298" t="s">
        <v>772</v>
      </c>
      <c r="C95" s="29"/>
      <c r="D95" s="29" t="s">
        <v>211</v>
      </c>
      <c r="E95" s="228" t="str">
        <f>IF(AND(ISNUMBER(Clocal_soil_inj),ISNUMBER(Clocal_soil_leach_TIME2)),Clocal_soil_inj+Clocal_soil_leach_TIME2,"??")</f>
        <v>??</v>
      </c>
      <c r="F95" s="16"/>
      <c r="G95" s="19" t="s">
        <v>807</v>
      </c>
      <c r="H95" s="19" t="s">
        <v>8</v>
      </c>
      <c r="I95" s="41" t="s">
        <v>300</v>
      </c>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row>
    <row r="96" spans="1:60" s="75" customFormat="1" ht="5.0999999999999996" customHeight="1" x14ac:dyDescent="0.2">
      <c r="A96" s="73"/>
      <c r="B96" s="29"/>
      <c r="C96" s="29"/>
      <c r="D96" s="29"/>
      <c r="E96" s="19"/>
      <c r="F96" s="16"/>
      <c r="G96" s="19"/>
      <c r="H96" s="19"/>
      <c r="I96" s="41"/>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row>
    <row r="97" spans="1:44" s="75" customFormat="1" ht="38.25" x14ac:dyDescent="0.2">
      <c r="A97" s="73"/>
      <c r="B97" s="196" t="s">
        <v>404</v>
      </c>
      <c r="C97" s="29"/>
      <c r="D97" s="29" t="s">
        <v>771</v>
      </c>
      <c r="E97" s="228" t="str">
        <f>IF(AND(ISNUMBER(Clocal_soil_inj),ISNUMBER(Clocal_soil_leach_TIME3)),Clocal_soil_inj+Clocal_soil_leach_TIME3,"??")</f>
        <v>??</v>
      </c>
      <c r="F97" s="16"/>
      <c r="G97" s="19" t="s">
        <v>807</v>
      </c>
      <c r="H97" s="19" t="s">
        <v>8</v>
      </c>
      <c r="I97" s="41" t="s">
        <v>770</v>
      </c>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row>
    <row r="98" spans="1:44" s="8" customFormat="1" x14ac:dyDescent="0.2">
      <c r="A98" s="10"/>
      <c r="B98" s="346"/>
      <c r="C98" s="346"/>
      <c r="D98" s="30"/>
      <c r="E98" s="30"/>
      <c r="F98" s="16"/>
      <c r="G98" s="19"/>
      <c r="H98" s="19"/>
      <c r="I98" s="41"/>
    </row>
    <row r="99" spans="1:44" s="75" customFormat="1" ht="15" x14ac:dyDescent="0.2">
      <c r="A99" s="73"/>
      <c r="B99" s="382" t="s">
        <v>559</v>
      </c>
      <c r="C99" s="382"/>
      <c r="D99" s="382"/>
      <c r="E99" s="382"/>
      <c r="F99" s="382"/>
      <c r="G99" s="382"/>
      <c r="H99" s="382"/>
      <c r="I99" s="382"/>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row>
    <row r="100" spans="1:44" s="75" customFormat="1" x14ac:dyDescent="0.2">
      <c r="A100" s="73"/>
      <c r="B100" s="330"/>
      <c r="C100" s="29"/>
      <c r="D100" s="29"/>
      <c r="E100" s="7"/>
      <c r="F100" s="7"/>
      <c r="G100" s="7"/>
      <c r="H100" s="19"/>
      <c r="I100" s="41"/>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row>
    <row r="101" spans="1:44" s="75" customFormat="1" ht="45" customHeight="1" x14ac:dyDescent="0.2">
      <c r="A101" s="73"/>
      <c r="B101" s="362" t="s">
        <v>562</v>
      </c>
      <c r="C101" s="362"/>
      <c r="D101" s="30" t="s">
        <v>454</v>
      </c>
      <c r="E101" s="228" t="str">
        <f>IF(AND(ISNUMBER(Esoil_leach__TIME1),ISNUMBER(k_soil),ISNUMBER(Clocal_soil_inj)),Esoil_leach__TIME1/(Vsoil*RHOsoil*k_soil)-(Esoil_leach__TIME1/(Vsoil*RHOsoil*k_soil)-Clocal_soil_inj)*EXP(-TIME1*k_soil),"??")</f>
        <v>??</v>
      </c>
      <c r="F101" s="7"/>
      <c r="G101" s="19" t="s">
        <v>807</v>
      </c>
      <c r="H101" s="7" t="s">
        <v>8</v>
      </c>
      <c r="I101" s="146" t="s">
        <v>913</v>
      </c>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row>
    <row r="102" spans="1:44" s="75" customFormat="1" ht="3" customHeight="1" x14ac:dyDescent="0.2">
      <c r="A102" s="73"/>
      <c r="B102" s="329"/>
      <c r="C102" s="329"/>
      <c r="D102" s="30"/>
      <c r="E102" s="30"/>
      <c r="F102" s="7"/>
      <c r="G102" s="19"/>
      <c r="H102" s="7"/>
      <c r="I102" s="146"/>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row>
    <row r="103" spans="1:44" s="75" customFormat="1" ht="42" customHeight="1" x14ac:dyDescent="0.2">
      <c r="A103" s="73"/>
      <c r="B103" s="362" t="s">
        <v>700</v>
      </c>
      <c r="C103" s="362"/>
      <c r="D103" s="30" t="s">
        <v>455</v>
      </c>
      <c r="E103" s="228" t="str">
        <f>IF(AND(ISNUMBER(Esoil_leach_TIME2),ISNUMBER(k_soil),ISNUMBER(Clocal_soil_inj)),Esoil_leach_TIME2/(Vsoil*RHOsoil*k_soil)-(Esoil_leach_TIME2/(Vsoil*RHOsoil*k_soil)-Clocal_soil_inj)*EXP(-TIME2*k_soil),"??")</f>
        <v>??</v>
      </c>
      <c r="F103" s="7"/>
      <c r="G103" s="19" t="s">
        <v>807</v>
      </c>
      <c r="H103" s="7" t="s">
        <v>8</v>
      </c>
      <c r="I103" s="146" t="s">
        <v>914</v>
      </c>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row>
    <row r="104" spans="1:44" s="75" customFormat="1" ht="3" customHeight="1" x14ac:dyDescent="0.2">
      <c r="A104" s="73"/>
      <c r="B104" s="329"/>
      <c r="C104" s="329"/>
      <c r="D104" s="30"/>
      <c r="E104" s="30"/>
      <c r="F104" s="7"/>
      <c r="G104" s="19"/>
      <c r="H104" s="7"/>
      <c r="I104" s="146"/>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row>
    <row r="105" spans="1:44" s="75" customFormat="1" ht="30" x14ac:dyDescent="0.2">
      <c r="A105" s="73"/>
      <c r="B105" s="362" t="s">
        <v>563</v>
      </c>
      <c r="C105" s="362"/>
      <c r="D105" s="30" t="s">
        <v>691</v>
      </c>
      <c r="E105" s="228" t="str">
        <f>IF(AND(ISNUMBER(Esoil_leach_TIME3),ISNUMBER(k_soil),ISNUMBER(Clocal_soil_inj)),Esoil_leach_TIME3/(Vsoil*RHOsoil*k_soil)-(Esoil_leach_TIME3/(Vsoil*RHOsoil*k_soil)-Clocal_soil_inj)*EXP(-TIME3*k_soil),"??")</f>
        <v>??</v>
      </c>
      <c r="F105" s="7"/>
      <c r="G105" s="19" t="s">
        <v>807</v>
      </c>
      <c r="H105" s="7" t="s">
        <v>8</v>
      </c>
      <c r="I105" s="146" t="s">
        <v>915</v>
      </c>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row>
    <row r="106" spans="1:44" s="75" customFormat="1" x14ac:dyDescent="0.2">
      <c r="A106" s="73"/>
      <c r="B106" s="329"/>
      <c r="C106" s="329"/>
      <c r="D106" s="30"/>
      <c r="E106" s="30"/>
      <c r="F106" s="7"/>
      <c r="G106" s="19"/>
      <c r="H106" s="7"/>
      <c r="I106" s="146"/>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row>
    <row r="107" spans="1:44" s="75" customFormat="1" ht="24" customHeight="1" x14ac:dyDescent="0.2">
      <c r="A107" s="73"/>
      <c r="B107" s="362" t="s">
        <v>560</v>
      </c>
      <c r="C107" s="362"/>
      <c r="D107" s="30" t="s">
        <v>456</v>
      </c>
      <c r="E107" s="228" t="str">
        <f>IFERROR(Clocalsoil_TIME1*RHOsoil*0.001/Ksoil_water,"??")</f>
        <v>??</v>
      </c>
      <c r="F107" s="7"/>
      <c r="G107" s="19" t="s">
        <v>810</v>
      </c>
      <c r="H107" s="7" t="s">
        <v>8</v>
      </c>
      <c r="I107" s="146" t="s">
        <v>801</v>
      </c>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row>
    <row r="108" spans="1:44" s="75" customFormat="1" ht="3" customHeight="1" x14ac:dyDescent="0.2">
      <c r="A108" s="73"/>
      <c r="B108" s="329"/>
      <c r="C108" s="329"/>
      <c r="D108" s="30"/>
      <c r="E108" s="30"/>
      <c r="F108" s="7"/>
      <c r="G108" s="19"/>
      <c r="H108" s="7"/>
      <c r="I108" s="146"/>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row>
    <row r="109" spans="1:44" s="75" customFormat="1" ht="27" customHeight="1" x14ac:dyDescent="0.2">
      <c r="A109" s="73"/>
      <c r="B109" s="362" t="s">
        <v>693</v>
      </c>
      <c r="C109" s="362"/>
      <c r="D109" s="30" t="s">
        <v>457</v>
      </c>
      <c r="E109" s="228" t="str">
        <f>IFERROR(Clocalsoil_TIME2*RHOsoil*0.001/Ksoil_water,"??")</f>
        <v>??</v>
      </c>
      <c r="F109" s="7"/>
      <c r="G109" s="19" t="s">
        <v>810</v>
      </c>
      <c r="H109" s="7" t="s">
        <v>8</v>
      </c>
      <c r="I109" s="146" t="s">
        <v>802</v>
      </c>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row>
    <row r="110" spans="1:44" s="75" customFormat="1" ht="3" customHeight="1" x14ac:dyDescent="0.2">
      <c r="A110" s="73"/>
      <c r="B110" s="329"/>
      <c r="C110" s="329"/>
      <c r="D110" s="30"/>
      <c r="E110" s="30"/>
      <c r="F110" s="7"/>
      <c r="G110" s="19"/>
      <c r="H110" s="7"/>
      <c r="I110" s="146"/>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row>
    <row r="111" spans="1:44" s="75" customFormat="1" ht="15" x14ac:dyDescent="0.2">
      <c r="A111" s="73"/>
      <c r="B111" s="362" t="s">
        <v>561</v>
      </c>
      <c r="C111" s="362"/>
      <c r="D111" s="30" t="s">
        <v>692</v>
      </c>
      <c r="E111" s="228" t="str">
        <f>IFERROR(Clocalsoil_TIME3*RHOsoil*0.001/Ksoil_water,"??")</f>
        <v>??</v>
      </c>
      <c r="F111" s="7"/>
      <c r="G111" s="19" t="s">
        <v>810</v>
      </c>
      <c r="H111" s="7" t="s">
        <v>8</v>
      </c>
      <c r="I111" s="146" t="s">
        <v>803</v>
      </c>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row>
    <row r="112" spans="1:44" s="75" customFormat="1" x14ac:dyDescent="0.2">
      <c r="A112" s="73"/>
      <c r="B112" s="241"/>
      <c r="C112" s="241"/>
      <c r="D112" s="329"/>
      <c r="E112" s="30"/>
      <c r="F112" s="7"/>
      <c r="G112" s="7"/>
      <c r="H112" s="7"/>
      <c r="I112" s="146"/>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row>
    <row r="113" spans="2:9" s="8" customFormat="1" ht="12.75" customHeight="1" x14ac:dyDescent="0.2">
      <c r="B113" s="86" t="s">
        <v>12</v>
      </c>
      <c r="G113" s="74"/>
      <c r="H113" s="74"/>
      <c r="I113" s="85"/>
    </row>
    <row r="114" spans="2:9" s="8" customFormat="1" x14ac:dyDescent="0.2">
      <c r="B114" s="73"/>
      <c r="G114" s="74"/>
      <c r="H114" s="74"/>
      <c r="I114" s="85"/>
    </row>
    <row r="115" spans="2:9" s="73" customFormat="1" ht="12" customHeight="1" x14ac:dyDescent="0.2">
      <c r="B115" s="307" t="s">
        <v>818</v>
      </c>
      <c r="I115" s="94"/>
    </row>
    <row r="116" spans="2:9" s="73" customFormat="1" x14ac:dyDescent="0.2">
      <c r="D116" s="94"/>
      <c r="I116" s="349"/>
    </row>
    <row r="117" spans="2:9" s="73" customFormat="1" x14ac:dyDescent="0.2">
      <c r="D117" s="94"/>
      <c r="I117" s="349"/>
    </row>
    <row r="118" spans="2:9" s="73" customFormat="1" x14ac:dyDescent="0.2">
      <c r="D118" s="94"/>
      <c r="I118" s="349"/>
    </row>
    <row r="119" spans="2:9" s="73" customFormat="1" x14ac:dyDescent="0.2">
      <c r="D119" s="94"/>
      <c r="I119" s="349"/>
    </row>
    <row r="120" spans="2:9" s="10" customFormat="1" x14ac:dyDescent="0.2">
      <c r="D120" s="61"/>
    </row>
    <row r="121" spans="2:9" s="10" customFormat="1" x14ac:dyDescent="0.2">
      <c r="D121" s="61"/>
    </row>
    <row r="122" spans="2:9" s="10" customFormat="1" x14ac:dyDescent="0.2">
      <c r="D122" s="61"/>
    </row>
    <row r="123" spans="2:9" s="10" customFormat="1" x14ac:dyDescent="0.2">
      <c r="D123" s="61"/>
    </row>
    <row r="124" spans="2:9" s="10" customFormat="1" x14ac:dyDescent="0.2">
      <c r="D124" s="61"/>
    </row>
    <row r="125" spans="2:9" s="10" customFormat="1" x14ac:dyDescent="0.2">
      <c r="D125" s="61"/>
    </row>
    <row r="126" spans="2:9" s="10" customFormat="1" x14ac:dyDescent="0.2">
      <c r="D126" s="61"/>
    </row>
    <row r="127" spans="2:9" s="10" customFormat="1" x14ac:dyDescent="0.2">
      <c r="D127" s="61"/>
    </row>
    <row r="128" spans="2:9" s="10" customFormat="1" x14ac:dyDescent="0.2">
      <c r="D128" s="61"/>
    </row>
    <row r="129" spans="4:4" s="10" customFormat="1" x14ac:dyDescent="0.2">
      <c r="D129" s="61"/>
    </row>
    <row r="130" spans="4:4" s="10" customFormat="1" x14ac:dyDescent="0.2">
      <c r="D130" s="61"/>
    </row>
    <row r="131" spans="4:4" s="10" customFormat="1" x14ac:dyDescent="0.2">
      <c r="D131" s="61"/>
    </row>
    <row r="132" spans="4:4" s="10" customFormat="1" x14ac:dyDescent="0.2">
      <c r="D132" s="61"/>
    </row>
    <row r="133" spans="4:4" s="10" customFormat="1" x14ac:dyDescent="0.2">
      <c r="D133" s="61"/>
    </row>
    <row r="134" spans="4:4" s="10" customFormat="1" x14ac:dyDescent="0.2">
      <c r="D134" s="61"/>
    </row>
    <row r="135" spans="4:4" s="8" customFormat="1" x14ac:dyDescent="0.2">
      <c r="D135" s="85"/>
    </row>
    <row r="136" spans="4:4" s="8" customFormat="1" x14ac:dyDescent="0.2">
      <c r="D136" s="85"/>
    </row>
    <row r="137" spans="4:4" s="8" customFormat="1" x14ac:dyDescent="0.2">
      <c r="D137" s="85"/>
    </row>
    <row r="138" spans="4:4" s="8" customFormat="1" x14ac:dyDescent="0.2">
      <c r="D138" s="85"/>
    </row>
    <row r="139" spans="4:4" s="8" customFormat="1" x14ac:dyDescent="0.2">
      <c r="D139" s="85"/>
    </row>
    <row r="140" spans="4:4" s="8" customFormat="1" x14ac:dyDescent="0.2">
      <c r="D140" s="85"/>
    </row>
    <row r="141" spans="4:4" s="8" customFormat="1" x14ac:dyDescent="0.2">
      <c r="D141" s="85"/>
    </row>
    <row r="142" spans="4:4" s="8" customFormat="1" x14ac:dyDescent="0.2">
      <c r="D142" s="85"/>
    </row>
    <row r="143" spans="4:4" s="8" customFormat="1" x14ac:dyDescent="0.2">
      <c r="D143" s="85"/>
    </row>
    <row r="144" spans="4:4" s="8" customFormat="1" x14ac:dyDescent="0.2">
      <c r="D144" s="85"/>
    </row>
    <row r="145" spans="4:4" s="8" customFormat="1" x14ac:dyDescent="0.2">
      <c r="D145" s="85"/>
    </row>
    <row r="146" spans="4:4" s="8" customFormat="1" x14ac:dyDescent="0.2">
      <c r="D146" s="85"/>
    </row>
    <row r="147" spans="4:4" s="8" customFormat="1" x14ac:dyDescent="0.2">
      <c r="D147" s="85"/>
    </row>
    <row r="148" spans="4:4" s="8" customFormat="1" x14ac:dyDescent="0.2">
      <c r="D148" s="85"/>
    </row>
    <row r="149" spans="4:4" s="8" customFormat="1" x14ac:dyDescent="0.2">
      <c r="D149" s="85"/>
    </row>
    <row r="150" spans="4:4" s="8" customFormat="1" x14ac:dyDescent="0.2">
      <c r="D150" s="85"/>
    </row>
    <row r="151" spans="4:4" s="8" customFormat="1" x14ac:dyDescent="0.2">
      <c r="D151" s="85"/>
    </row>
    <row r="152" spans="4:4" s="8" customFormat="1" x14ac:dyDescent="0.2">
      <c r="D152" s="85"/>
    </row>
    <row r="153" spans="4:4" s="8" customFormat="1" x14ac:dyDescent="0.2">
      <c r="D153" s="85"/>
    </row>
    <row r="154" spans="4:4" s="8" customFormat="1" x14ac:dyDescent="0.2">
      <c r="D154" s="85"/>
    </row>
    <row r="155" spans="4:4" s="8" customFormat="1" x14ac:dyDescent="0.2">
      <c r="D155" s="85"/>
    </row>
    <row r="156" spans="4:4" s="8" customFormat="1" x14ac:dyDescent="0.2">
      <c r="D156" s="85"/>
    </row>
    <row r="157" spans="4:4" s="8" customFormat="1" x14ac:dyDescent="0.2">
      <c r="D157" s="85"/>
    </row>
    <row r="158" spans="4:4" s="8" customFormat="1" x14ac:dyDescent="0.2">
      <c r="D158" s="85"/>
    </row>
    <row r="159" spans="4:4" s="8" customFormat="1" x14ac:dyDescent="0.2">
      <c r="D159" s="85"/>
    </row>
    <row r="160" spans="4:4" s="8" customFormat="1" x14ac:dyDescent="0.2">
      <c r="D160" s="85"/>
    </row>
    <row r="161" spans="4:4" s="8" customFormat="1" x14ac:dyDescent="0.2">
      <c r="D161" s="85"/>
    </row>
    <row r="162" spans="4:4" s="8" customFormat="1" x14ac:dyDescent="0.2">
      <c r="D162" s="85"/>
    </row>
    <row r="163" spans="4:4" s="8" customFormat="1" x14ac:dyDescent="0.2">
      <c r="D163" s="85"/>
    </row>
    <row r="164" spans="4:4" s="8" customFormat="1" x14ac:dyDescent="0.2">
      <c r="D164" s="85"/>
    </row>
    <row r="165" spans="4:4" s="8" customFormat="1" x14ac:dyDescent="0.2">
      <c r="D165" s="85"/>
    </row>
    <row r="166" spans="4:4" s="8" customFormat="1" x14ac:dyDescent="0.2">
      <c r="D166" s="85"/>
    </row>
    <row r="167" spans="4:4" s="8" customFormat="1" x14ac:dyDescent="0.2">
      <c r="D167" s="85"/>
    </row>
    <row r="168" spans="4:4" s="8" customFormat="1" x14ac:dyDescent="0.2">
      <c r="D168" s="85"/>
    </row>
    <row r="169" spans="4:4" s="8" customFormat="1" x14ac:dyDescent="0.2">
      <c r="D169" s="85"/>
    </row>
    <row r="170" spans="4:4" s="8" customFormat="1" x14ac:dyDescent="0.2">
      <c r="D170" s="85"/>
    </row>
    <row r="171" spans="4:4" s="8" customFormat="1" x14ac:dyDescent="0.2">
      <c r="D171" s="85"/>
    </row>
    <row r="172" spans="4:4" s="8" customFormat="1" x14ac:dyDescent="0.2">
      <c r="D172" s="85"/>
    </row>
    <row r="173" spans="4:4" s="8" customFormat="1" x14ac:dyDescent="0.2">
      <c r="D173" s="85"/>
    </row>
    <row r="174" spans="4:4" s="8" customFormat="1" x14ac:dyDescent="0.2">
      <c r="D174" s="85"/>
    </row>
    <row r="175" spans="4:4" s="8" customFormat="1" x14ac:dyDescent="0.2">
      <c r="D175" s="85"/>
    </row>
    <row r="176" spans="4:4" s="8" customFormat="1" x14ac:dyDescent="0.2">
      <c r="D176" s="85"/>
    </row>
    <row r="177" spans="4:4" s="8" customFormat="1" x14ac:dyDescent="0.2">
      <c r="D177" s="85"/>
    </row>
    <row r="178" spans="4:4" s="8" customFormat="1" x14ac:dyDescent="0.2">
      <c r="D178" s="85"/>
    </row>
    <row r="179" spans="4:4" s="8" customFormat="1" x14ac:dyDescent="0.2">
      <c r="D179" s="85"/>
    </row>
    <row r="180" spans="4:4" s="8" customFormat="1" x14ac:dyDescent="0.2">
      <c r="D180" s="85"/>
    </row>
    <row r="181" spans="4:4" s="8" customFormat="1" x14ac:dyDescent="0.2">
      <c r="D181" s="85"/>
    </row>
    <row r="182" spans="4:4" s="8" customFormat="1" x14ac:dyDescent="0.2">
      <c r="D182" s="85"/>
    </row>
    <row r="183" spans="4:4" s="8" customFormat="1" x14ac:dyDescent="0.2">
      <c r="D183" s="85"/>
    </row>
    <row r="184" spans="4:4" s="8" customFormat="1" x14ac:dyDescent="0.2">
      <c r="D184" s="85"/>
    </row>
    <row r="185" spans="4:4" s="8" customFormat="1" x14ac:dyDescent="0.2">
      <c r="D185" s="85"/>
    </row>
    <row r="186" spans="4:4" s="8" customFormat="1" x14ac:dyDescent="0.2">
      <c r="D186" s="85"/>
    </row>
    <row r="187" spans="4:4" s="8" customFormat="1" x14ac:dyDescent="0.2">
      <c r="D187" s="85"/>
    </row>
    <row r="188" spans="4:4" s="8" customFormat="1" x14ac:dyDescent="0.2">
      <c r="D188" s="85"/>
    </row>
    <row r="189" spans="4:4" s="8" customFormat="1" x14ac:dyDescent="0.2">
      <c r="D189" s="85"/>
    </row>
    <row r="190" spans="4:4" s="8" customFormat="1" x14ac:dyDescent="0.2">
      <c r="D190" s="85"/>
    </row>
    <row r="191" spans="4:4" s="8" customFormat="1" x14ac:dyDescent="0.2">
      <c r="D191" s="85"/>
    </row>
    <row r="192" spans="4:4" s="8" customFormat="1" x14ac:dyDescent="0.2">
      <c r="D192" s="85"/>
    </row>
    <row r="193" spans="4:4" s="8" customFormat="1" x14ac:dyDescent="0.2">
      <c r="D193" s="85"/>
    </row>
    <row r="194" spans="4:4" s="8" customFormat="1" x14ac:dyDescent="0.2">
      <c r="D194" s="85"/>
    </row>
    <row r="195" spans="4:4" s="8" customFormat="1" x14ac:dyDescent="0.2">
      <c r="D195" s="85"/>
    </row>
    <row r="196" spans="4:4" s="8" customFormat="1" x14ac:dyDescent="0.2">
      <c r="D196" s="85"/>
    </row>
    <row r="197" spans="4:4" s="8" customFormat="1" x14ac:dyDescent="0.2">
      <c r="D197" s="85"/>
    </row>
    <row r="198" spans="4:4" s="8" customFormat="1" x14ac:dyDescent="0.2">
      <c r="D198" s="85"/>
    </row>
    <row r="199" spans="4:4" s="8" customFormat="1" x14ac:dyDescent="0.2">
      <c r="D199" s="85"/>
    </row>
    <row r="200" spans="4:4" s="8" customFormat="1" x14ac:dyDescent="0.2">
      <c r="D200" s="85"/>
    </row>
    <row r="201" spans="4:4" s="8" customFormat="1" x14ac:dyDescent="0.2">
      <c r="D201" s="85"/>
    </row>
    <row r="202" spans="4:4" s="8" customFormat="1" x14ac:dyDescent="0.2">
      <c r="D202" s="85"/>
    </row>
    <row r="203" spans="4:4" s="8" customFormat="1" x14ac:dyDescent="0.2">
      <c r="D203" s="85"/>
    </row>
    <row r="204" spans="4:4" s="8" customFormat="1" x14ac:dyDescent="0.2">
      <c r="D204" s="85"/>
    </row>
    <row r="205" spans="4:4" s="8" customFormat="1" x14ac:dyDescent="0.2">
      <c r="D205" s="85"/>
    </row>
    <row r="206" spans="4:4" s="8" customFormat="1" x14ac:dyDescent="0.2">
      <c r="D206" s="85"/>
    </row>
    <row r="207" spans="4:4" s="8" customFormat="1" x14ac:dyDescent="0.2">
      <c r="D207" s="85"/>
    </row>
    <row r="208" spans="4:4" s="8" customFormat="1" x14ac:dyDescent="0.2">
      <c r="D208" s="85"/>
    </row>
    <row r="209" spans="4:4" s="8" customFormat="1" x14ac:dyDescent="0.2">
      <c r="D209" s="85"/>
    </row>
    <row r="210" spans="4:4" s="8" customFormat="1" x14ac:dyDescent="0.2">
      <c r="D210" s="85"/>
    </row>
    <row r="211" spans="4:4" s="8" customFormat="1" x14ac:dyDescent="0.2">
      <c r="D211" s="85"/>
    </row>
    <row r="212" spans="4:4" s="8" customFormat="1" x14ac:dyDescent="0.2">
      <c r="D212" s="85"/>
    </row>
    <row r="213" spans="4:4" s="8" customFormat="1" x14ac:dyDescent="0.2">
      <c r="D213" s="85"/>
    </row>
    <row r="214" spans="4:4" s="8" customFormat="1" x14ac:dyDescent="0.2">
      <c r="D214" s="85"/>
    </row>
    <row r="215" spans="4:4" s="8" customFormat="1" x14ac:dyDescent="0.2">
      <c r="D215" s="85"/>
    </row>
    <row r="216" spans="4:4" s="8" customFormat="1" x14ac:dyDescent="0.2">
      <c r="D216" s="85"/>
    </row>
    <row r="217" spans="4:4" s="8" customFormat="1" x14ac:dyDescent="0.2">
      <c r="D217" s="85"/>
    </row>
    <row r="218" spans="4:4" s="8" customFormat="1" x14ac:dyDescent="0.2">
      <c r="D218" s="85"/>
    </row>
    <row r="219" spans="4:4" s="8" customFormat="1" x14ac:dyDescent="0.2">
      <c r="D219" s="85"/>
    </row>
    <row r="220" spans="4:4" s="8" customFormat="1" x14ac:dyDescent="0.2">
      <c r="D220" s="85"/>
    </row>
    <row r="221" spans="4:4" s="8" customFormat="1" x14ac:dyDescent="0.2">
      <c r="D221" s="85"/>
    </row>
    <row r="222" spans="4:4" s="8" customFormat="1" x14ac:dyDescent="0.2">
      <c r="D222" s="85"/>
    </row>
    <row r="223" spans="4:4" s="8" customFormat="1" x14ac:dyDescent="0.2">
      <c r="D223" s="85"/>
    </row>
    <row r="224" spans="4:4" s="8" customFormat="1" x14ac:dyDescent="0.2">
      <c r="D224" s="85"/>
    </row>
    <row r="225" spans="4:4" s="8" customFormat="1" x14ac:dyDescent="0.2">
      <c r="D225" s="85"/>
    </row>
    <row r="226" spans="4:4" s="8" customFormat="1" x14ac:dyDescent="0.2">
      <c r="D226" s="85"/>
    </row>
    <row r="227" spans="4:4" s="8" customFormat="1" x14ac:dyDescent="0.2">
      <c r="D227" s="85"/>
    </row>
    <row r="228" spans="4:4" s="8" customFormat="1" x14ac:dyDescent="0.2">
      <c r="D228" s="85"/>
    </row>
    <row r="229" spans="4:4" s="8" customFormat="1" x14ac:dyDescent="0.2">
      <c r="D229" s="85"/>
    </row>
    <row r="230" spans="4:4" s="8" customFormat="1" x14ac:dyDescent="0.2">
      <c r="D230" s="85"/>
    </row>
    <row r="231" spans="4:4" s="8" customFormat="1" x14ac:dyDescent="0.2">
      <c r="D231" s="85"/>
    </row>
    <row r="232" spans="4:4" s="8" customFormat="1" x14ac:dyDescent="0.2">
      <c r="D232" s="85"/>
    </row>
    <row r="233" spans="4:4" s="8" customFormat="1" x14ac:dyDescent="0.2">
      <c r="D233" s="85"/>
    </row>
    <row r="234" spans="4:4" s="8" customFormat="1" x14ac:dyDescent="0.2">
      <c r="D234" s="85"/>
    </row>
    <row r="235" spans="4:4" s="8" customFormat="1" x14ac:dyDescent="0.2">
      <c r="D235" s="85"/>
    </row>
    <row r="236" spans="4:4" s="8" customFormat="1" x14ac:dyDescent="0.2">
      <c r="D236" s="85"/>
    </row>
    <row r="237" spans="4:4" s="8" customFormat="1" x14ac:dyDescent="0.2">
      <c r="D237" s="85"/>
    </row>
    <row r="238" spans="4:4" s="8" customFormat="1" x14ac:dyDescent="0.2">
      <c r="D238" s="85"/>
    </row>
    <row r="239" spans="4:4" s="8" customFormat="1" x14ac:dyDescent="0.2">
      <c r="D239" s="85"/>
    </row>
    <row r="240" spans="4:4" s="8" customFormat="1" x14ac:dyDescent="0.2">
      <c r="D240" s="85"/>
    </row>
    <row r="241" spans="4:4" s="8" customFormat="1" x14ac:dyDescent="0.2">
      <c r="D241" s="85"/>
    </row>
    <row r="242" spans="4:4" s="8" customFormat="1" x14ac:dyDescent="0.2">
      <c r="D242" s="85"/>
    </row>
    <row r="243" spans="4:4" s="8" customFormat="1" x14ac:dyDescent="0.2">
      <c r="D243" s="85"/>
    </row>
    <row r="244" spans="4:4" s="8" customFormat="1" x14ac:dyDescent="0.2">
      <c r="D244" s="85"/>
    </row>
    <row r="245" spans="4:4" s="8" customFormat="1" x14ac:dyDescent="0.2">
      <c r="D245" s="85"/>
    </row>
    <row r="246" spans="4:4" s="8" customFormat="1" x14ac:dyDescent="0.2">
      <c r="D246" s="85"/>
    </row>
    <row r="247" spans="4:4" s="8" customFormat="1" x14ac:dyDescent="0.2">
      <c r="D247" s="85"/>
    </row>
    <row r="248" spans="4:4" s="8" customFormat="1" x14ac:dyDescent="0.2">
      <c r="D248" s="85"/>
    </row>
    <row r="249" spans="4:4" s="8" customFormat="1" x14ac:dyDescent="0.2">
      <c r="D249" s="85"/>
    </row>
    <row r="250" spans="4:4" s="8" customFormat="1" x14ac:dyDescent="0.2">
      <c r="D250" s="85"/>
    </row>
    <row r="251" spans="4:4" s="8" customFormat="1" x14ac:dyDescent="0.2">
      <c r="D251" s="85"/>
    </row>
    <row r="252" spans="4:4" s="8" customFormat="1" x14ac:dyDescent="0.2">
      <c r="D252" s="85"/>
    </row>
    <row r="253" spans="4:4" s="8" customFormat="1" x14ac:dyDescent="0.2">
      <c r="D253" s="85"/>
    </row>
    <row r="254" spans="4:4" s="8" customFormat="1" x14ac:dyDescent="0.2">
      <c r="D254" s="85"/>
    </row>
    <row r="255" spans="4:4" s="8" customFormat="1" x14ac:dyDescent="0.2">
      <c r="D255" s="85"/>
    </row>
    <row r="256" spans="4:4" s="8" customFormat="1" x14ac:dyDescent="0.2">
      <c r="D256" s="85"/>
    </row>
    <row r="257" spans="4:4" s="8" customFormat="1" x14ac:dyDescent="0.2">
      <c r="D257" s="85"/>
    </row>
    <row r="258" spans="4:4" s="8" customFormat="1" x14ac:dyDescent="0.2">
      <c r="D258" s="85"/>
    </row>
    <row r="259" spans="4:4" s="8" customFormat="1" x14ac:dyDescent="0.2">
      <c r="D259" s="85"/>
    </row>
    <row r="260" spans="4:4" s="8" customFormat="1" x14ac:dyDescent="0.2">
      <c r="D260" s="85"/>
    </row>
    <row r="261" spans="4:4" s="8" customFormat="1" x14ac:dyDescent="0.2">
      <c r="D261" s="85"/>
    </row>
    <row r="262" spans="4:4" s="8" customFormat="1" x14ac:dyDescent="0.2">
      <c r="D262" s="85"/>
    </row>
    <row r="263" spans="4:4" s="8" customFormat="1" x14ac:dyDescent="0.2">
      <c r="D263" s="85"/>
    </row>
    <row r="264" spans="4:4" s="8" customFormat="1" x14ac:dyDescent="0.2">
      <c r="D264" s="85"/>
    </row>
    <row r="265" spans="4:4" s="8" customFormat="1" x14ac:dyDescent="0.2">
      <c r="D265" s="85"/>
    </row>
    <row r="266" spans="4:4" s="8" customFormat="1" x14ac:dyDescent="0.2">
      <c r="D266" s="85"/>
    </row>
    <row r="267" spans="4:4" s="8" customFormat="1" x14ac:dyDescent="0.2">
      <c r="D267" s="85"/>
    </row>
    <row r="268" spans="4:4" s="8" customFormat="1" x14ac:dyDescent="0.2">
      <c r="D268" s="85"/>
    </row>
    <row r="269" spans="4:4" s="8" customFormat="1" x14ac:dyDescent="0.2">
      <c r="D269" s="85"/>
    </row>
    <row r="270" spans="4:4" s="8" customFormat="1" x14ac:dyDescent="0.2">
      <c r="D270" s="85"/>
    </row>
    <row r="271" spans="4:4" s="8" customFormat="1" x14ac:dyDescent="0.2">
      <c r="D271" s="85"/>
    </row>
    <row r="272" spans="4:4" s="8" customFormat="1" x14ac:dyDescent="0.2">
      <c r="D272" s="85"/>
    </row>
    <row r="273" spans="4:4" s="8" customFormat="1" x14ac:dyDescent="0.2">
      <c r="D273" s="85"/>
    </row>
    <row r="274" spans="4:4" s="8" customFormat="1" x14ac:dyDescent="0.2">
      <c r="D274" s="85"/>
    </row>
    <row r="275" spans="4:4" s="8" customFormat="1" x14ac:dyDescent="0.2">
      <c r="D275" s="85"/>
    </row>
    <row r="276" spans="4:4" s="8" customFormat="1" x14ac:dyDescent="0.2">
      <c r="D276" s="85"/>
    </row>
    <row r="277" spans="4:4" s="8" customFormat="1" x14ac:dyDescent="0.2">
      <c r="D277" s="85"/>
    </row>
    <row r="278" spans="4:4" s="8" customFormat="1" x14ac:dyDescent="0.2">
      <c r="D278" s="85"/>
    </row>
    <row r="279" spans="4:4" s="8" customFormat="1" x14ac:dyDescent="0.2">
      <c r="D279" s="85"/>
    </row>
    <row r="280" spans="4:4" s="8" customFormat="1" x14ac:dyDescent="0.2">
      <c r="D280" s="85"/>
    </row>
    <row r="281" spans="4:4" s="8" customFormat="1" x14ac:dyDescent="0.2">
      <c r="D281" s="85"/>
    </row>
    <row r="282" spans="4:4" s="8" customFormat="1" x14ac:dyDescent="0.2">
      <c r="D282" s="85"/>
    </row>
    <row r="283" spans="4:4" s="8" customFormat="1" x14ac:dyDescent="0.2">
      <c r="D283" s="85"/>
    </row>
    <row r="284" spans="4:4" s="8" customFormat="1" x14ac:dyDescent="0.2">
      <c r="D284" s="85"/>
    </row>
    <row r="285" spans="4:4" s="8" customFormat="1" x14ac:dyDescent="0.2">
      <c r="D285" s="85"/>
    </row>
    <row r="286" spans="4:4" s="8" customFormat="1" x14ac:dyDescent="0.2">
      <c r="D286" s="85"/>
    </row>
    <row r="287" spans="4:4" s="8" customFormat="1" x14ac:dyDescent="0.2">
      <c r="D287" s="85"/>
    </row>
    <row r="288" spans="4:4" s="8" customFormat="1" x14ac:dyDescent="0.2">
      <c r="D288" s="85"/>
    </row>
    <row r="289" spans="4:4" s="8" customFormat="1" x14ac:dyDescent="0.2">
      <c r="D289" s="85"/>
    </row>
    <row r="290" spans="4:4" s="8" customFormat="1" x14ac:dyDescent="0.2">
      <c r="D290" s="85"/>
    </row>
    <row r="291" spans="4:4" s="8" customFormat="1" x14ac:dyDescent="0.2">
      <c r="D291" s="85"/>
    </row>
    <row r="292" spans="4:4" s="8" customFormat="1" x14ac:dyDescent="0.2">
      <c r="D292" s="85"/>
    </row>
    <row r="293" spans="4:4" s="8" customFormat="1" x14ac:dyDescent="0.2">
      <c r="D293" s="85"/>
    </row>
    <row r="294" spans="4:4" s="8" customFormat="1" x14ac:dyDescent="0.2">
      <c r="D294" s="85"/>
    </row>
    <row r="295" spans="4:4" s="8" customFormat="1" x14ac:dyDescent="0.2">
      <c r="D295" s="85"/>
    </row>
    <row r="296" spans="4:4" s="8" customFormat="1" x14ac:dyDescent="0.2">
      <c r="D296" s="85"/>
    </row>
    <row r="297" spans="4:4" s="8" customFormat="1" x14ac:dyDescent="0.2">
      <c r="D297" s="85"/>
    </row>
    <row r="298" spans="4:4" s="8" customFormat="1" x14ac:dyDescent="0.2">
      <c r="D298" s="85"/>
    </row>
    <row r="299" spans="4:4" s="8" customFormat="1" x14ac:dyDescent="0.2">
      <c r="D299" s="85"/>
    </row>
    <row r="300" spans="4:4" s="8" customFormat="1" x14ac:dyDescent="0.2">
      <c r="D300" s="85"/>
    </row>
    <row r="301" spans="4:4" s="8" customFormat="1" x14ac:dyDescent="0.2">
      <c r="D301" s="85"/>
    </row>
    <row r="302" spans="4:4" s="8" customFormat="1" x14ac:dyDescent="0.2">
      <c r="D302" s="85"/>
    </row>
    <row r="303" spans="4:4" s="8" customFormat="1" x14ac:dyDescent="0.2">
      <c r="D303" s="85"/>
    </row>
    <row r="304" spans="4:4" s="8" customFormat="1" x14ac:dyDescent="0.2">
      <c r="D304" s="85"/>
    </row>
    <row r="305" spans="4:4" s="8" customFormat="1" x14ac:dyDescent="0.2">
      <c r="D305" s="85"/>
    </row>
    <row r="306" spans="4:4" s="8" customFormat="1" x14ac:dyDescent="0.2">
      <c r="D306" s="85"/>
    </row>
    <row r="307" spans="4:4" s="8" customFormat="1" x14ac:dyDescent="0.2">
      <c r="D307" s="85"/>
    </row>
    <row r="308" spans="4:4" s="8" customFormat="1" x14ac:dyDescent="0.2">
      <c r="D308" s="85"/>
    </row>
    <row r="309" spans="4:4" s="8" customFormat="1" x14ac:dyDescent="0.2">
      <c r="D309" s="85"/>
    </row>
    <row r="310" spans="4:4" s="8" customFormat="1" x14ac:dyDescent="0.2">
      <c r="D310" s="85"/>
    </row>
    <row r="311" spans="4:4" s="8" customFormat="1" x14ac:dyDescent="0.2">
      <c r="D311" s="85"/>
    </row>
    <row r="312" spans="4:4" s="8" customFormat="1" x14ac:dyDescent="0.2">
      <c r="D312" s="85"/>
    </row>
    <row r="313" spans="4:4" s="8" customFormat="1" x14ac:dyDescent="0.2">
      <c r="D313" s="85"/>
    </row>
    <row r="314" spans="4:4" s="8" customFormat="1" x14ac:dyDescent="0.2">
      <c r="D314" s="85"/>
    </row>
    <row r="315" spans="4:4" s="8" customFormat="1" x14ac:dyDescent="0.2">
      <c r="D315" s="85"/>
    </row>
    <row r="316" spans="4:4" s="8" customFormat="1" x14ac:dyDescent="0.2">
      <c r="D316" s="85"/>
    </row>
    <row r="317" spans="4:4" s="8" customFormat="1" x14ac:dyDescent="0.2">
      <c r="D317" s="85"/>
    </row>
    <row r="318" spans="4:4" s="8" customFormat="1" x14ac:dyDescent="0.2">
      <c r="D318" s="85"/>
    </row>
    <row r="319" spans="4:4" s="8" customFormat="1" x14ac:dyDescent="0.2">
      <c r="D319" s="85"/>
    </row>
    <row r="320" spans="4:4" s="8" customFormat="1" x14ac:dyDescent="0.2">
      <c r="D320" s="85"/>
    </row>
    <row r="321" spans="4:4" s="8" customFormat="1" x14ac:dyDescent="0.2">
      <c r="D321" s="85"/>
    </row>
    <row r="322" spans="4:4" s="8" customFormat="1" x14ac:dyDescent="0.2">
      <c r="D322" s="85"/>
    </row>
    <row r="323" spans="4:4" s="8" customFormat="1" x14ac:dyDescent="0.2">
      <c r="D323" s="85"/>
    </row>
    <row r="324" spans="4:4" s="8" customFormat="1" x14ac:dyDescent="0.2">
      <c r="D324" s="85"/>
    </row>
    <row r="325" spans="4:4" s="8" customFormat="1" x14ac:dyDescent="0.2">
      <c r="D325" s="85"/>
    </row>
    <row r="326" spans="4:4" s="8" customFormat="1" x14ac:dyDescent="0.2">
      <c r="D326" s="85"/>
    </row>
    <row r="327" spans="4:4" s="8" customFormat="1" x14ac:dyDescent="0.2">
      <c r="D327" s="85"/>
    </row>
    <row r="328" spans="4:4" s="8" customFormat="1" x14ac:dyDescent="0.2">
      <c r="D328" s="85"/>
    </row>
    <row r="329" spans="4:4" s="8" customFormat="1" x14ac:dyDescent="0.2">
      <c r="D329" s="85"/>
    </row>
    <row r="330" spans="4:4" s="8" customFormat="1" x14ac:dyDescent="0.2">
      <c r="D330" s="85"/>
    </row>
    <row r="331" spans="4:4" s="8" customFormat="1" x14ac:dyDescent="0.2">
      <c r="D331" s="85"/>
    </row>
    <row r="332" spans="4:4" s="8" customFormat="1" x14ac:dyDescent="0.2">
      <c r="D332" s="85"/>
    </row>
    <row r="333" spans="4:4" s="8" customFormat="1" x14ac:dyDescent="0.2">
      <c r="D333" s="85"/>
    </row>
    <row r="334" spans="4:4" s="8" customFormat="1" x14ac:dyDescent="0.2">
      <c r="D334" s="85"/>
    </row>
    <row r="335" spans="4:4" s="8" customFormat="1" x14ac:dyDescent="0.2">
      <c r="D335" s="85"/>
    </row>
    <row r="336" spans="4:4" s="8" customFormat="1" x14ac:dyDescent="0.2">
      <c r="D336" s="85"/>
    </row>
    <row r="337" spans="4:4" s="8" customFormat="1" x14ac:dyDescent="0.2">
      <c r="D337" s="85"/>
    </row>
    <row r="338" spans="4:4" s="8" customFormat="1" x14ac:dyDescent="0.2">
      <c r="D338" s="85"/>
    </row>
    <row r="339" spans="4:4" s="8" customFormat="1" x14ac:dyDescent="0.2">
      <c r="D339" s="85"/>
    </row>
    <row r="340" spans="4:4" s="8" customFormat="1" x14ac:dyDescent="0.2">
      <c r="D340" s="85"/>
    </row>
    <row r="341" spans="4:4" s="8" customFormat="1" x14ac:dyDescent="0.2">
      <c r="D341" s="85"/>
    </row>
    <row r="342" spans="4:4" s="8" customFormat="1" x14ac:dyDescent="0.2">
      <c r="D342" s="85"/>
    </row>
    <row r="343" spans="4:4" s="8" customFormat="1" x14ac:dyDescent="0.2">
      <c r="D343" s="85"/>
    </row>
    <row r="344" spans="4:4" s="8" customFormat="1" x14ac:dyDescent="0.2">
      <c r="D344" s="85"/>
    </row>
    <row r="345" spans="4:4" s="8" customFormat="1" x14ac:dyDescent="0.2">
      <c r="D345" s="85"/>
    </row>
    <row r="346" spans="4:4" s="8" customFormat="1" x14ac:dyDescent="0.2">
      <c r="D346" s="85"/>
    </row>
    <row r="347" spans="4:4" s="8" customFormat="1" x14ac:dyDescent="0.2">
      <c r="D347" s="85"/>
    </row>
    <row r="348" spans="4:4" s="8" customFormat="1" x14ac:dyDescent="0.2">
      <c r="D348" s="85"/>
    </row>
    <row r="349" spans="4:4" s="8" customFormat="1" x14ac:dyDescent="0.2">
      <c r="D349" s="85"/>
    </row>
    <row r="350" spans="4:4" s="8" customFormat="1" x14ac:dyDescent="0.2">
      <c r="D350" s="85"/>
    </row>
    <row r="351" spans="4:4" s="8" customFormat="1" x14ac:dyDescent="0.2">
      <c r="D351" s="85"/>
    </row>
    <row r="352" spans="4:4" s="8" customFormat="1" x14ac:dyDescent="0.2">
      <c r="D352" s="85"/>
    </row>
    <row r="353" spans="4:4" s="8" customFormat="1" x14ac:dyDescent="0.2">
      <c r="D353" s="85"/>
    </row>
    <row r="354" spans="4:4" s="8" customFormat="1" x14ac:dyDescent="0.2">
      <c r="D354" s="85"/>
    </row>
    <row r="355" spans="4:4" s="8" customFormat="1" x14ac:dyDescent="0.2">
      <c r="D355" s="85"/>
    </row>
    <row r="356" spans="4:4" s="8" customFormat="1" x14ac:dyDescent="0.2">
      <c r="D356" s="85"/>
    </row>
    <row r="357" spans="4:4" s="8" customFormat="1" x14ac:dyDescent="0.2">
      <c r="D357" s="85"/>
    </row>
    <row r="358" spans="4:4" s="8" customFormat="1" x14ac:dyDescent="0.2">
      <c r="D358" s="85"/>
    </row>
    <row r="359" spans="4:4" s="8" customFormat="1" x14ac:dyDescent="0.2">
      <c r="D359" s="85"/>
    </row>
    <row r="360" spans="4:4" s="8" customFormat="1" x14ac:dyDescent="0.2">
      <c r="D360" s="85"/>
    </row>
    <row r="361" spans="4:4" s="8" customFormat="1" x14ac:dyDescent="0.2">
      <c r="D361" s="85"/>
    </row>
    <row r="362" spans="4:4" s="8" customFormat="1" x14ac:dyDescent="0.2">
      <c r="D362" s="85"/>
    </row>
    <row r="363" spans="4:4" s="8" customFormat="1" x14ac:dyDescent="0.2">
      <c r="D363" s="85"/>
    </row>
    <row r="364" spans="4:4" s="8" customFormat="1" x14ac:dyDescent="0.2">
      <c r="D364" s="85"/>
    </row>
    <row r="365" spans="4:4" s="8" customFormat="1" x14ac:dyDescent="0.2">
      <c r="D365" s="85"/>
    </row>
    <row r="366" spans="4:4" s="8" customFormat="1" x14ac:dyDescent="0.2">
      <c r="D366" s="85"/>
    </row>
    <row r="367" spans="4:4" s="8" customFormat="1" x14ac:dyDescent="0.2">
      <c r="D367" s="85"/>
    </row>
    <row r="368" spans="4:4" s="8" customFormat="1" x14ac:dyDescent="0.2">
      <c r="D368" s="85"/>
    </row>
    <row r="369" spans="4:4" s="8" customFormat="1" x14ac:dyDescent="0.2">
      <c r="D369" s="85"/>
    </row>
    <row r="370" spans="4:4" s="8" customFormat="1" x14ac:dyDescent="0.2">
      <c r="D370" s="85"/>
    </row>
    <row r="371" spans="4:4" s="8" customFormat="1" x14ac:dyDescent="0.2">
      <c r="D371" s="85"/>
    </row>
    <row r="372" spans="4:4" s="8" customFormat="1" x14ac:dyDescent="0.2">
      <c r="D372" s="85"/>
    </row>
    <row r="373" spans="4:4" s="8" customFormat="1" x14ac:dyDescent="0.2">
      <c r="D373" s="85"/>
    </row>
    <row r="374" spans="4:4" s="8" customFormat="1" x14ac:dyDescent="0.2">
      <c r="D374" s="85"/>
    </row>
    <row r="375" spans="4:4" s="8" customFormat="1" x14ac:dyDescent="0.2">
      <c r="D375" s="85"/>
    </row>
    <row r="376" spans="4:4" s="8" customFormat="1" x14ac:dyDescent="0.2">
      <c r="D376" s="85"/>
    </row>
    <row r="377" spans="4:4" s="8" customFormat="1" x14ac:dyDescent="0.2">
      <c r="D377" s="85"/>
    </row>
    <row r="378" spans="4:4" s="8" customFormat="1" x14ac:dyDescent="0.2">
      <c r="D378" s="85"/>
    </row>
    <row r="379" spans="4:4" s="8" customFormat="1" x14ac:dyDescent="0.2">
      <c r="D379" s="85"/>
    </row>
    <row r="380" spans="4:4" s="8" customFormat="1" x14ac:dyDescent="0.2">
      <c r="D380" s="85"/>
    </row>
    <row r="381" spans="4:4" s="8" customFormat="1" x14ac:dyDescent="0.2">
      <c r="D381" s="85"/>
    </row>
    <row r="382" spans="4:4" s="8" customFormat="1" x14ac:dyDescent="0.2">
      <c r="D382" s="85"/>
    </row>
    <row r="383" spans="4:4" s="8" customFormat="1" x14ac:dyDescent="0.2">
      <c r="D383" s="85"/>
    </row>
    <row r="384" spans="4:4" s="8" customFormat="1" x14ac:dyDescent="0.2">
      <c r="D384" s="85"/>
    </row>
    <row r="385" spans="4:4" s="8" customFormat="1" x14ac:dyDescent="0.2">
      <c r="D385" s="85"/>
    </row>
    <row r="386" spans="4:4" s="8" customFormat="1" x14ac:dyDescent="0.2">
      <c r="D386" s="85"/>
    </row>
    <row r="387" spans="4:4" s="8" customFormat="1" x14ac:dyDescent="0.2">
      <c r="D387" s="85"/>
    </row>
    <row r="388" spans="4:4" s="8" customFormat="1" x14ac:dyDescent="0.2">
      <c r="D388" s="85"/>
    </row>
    <row r="389" spans="4:4" s="8" customFormat="1" x14ac:dyDescent="0.2">
      <c r="D389" s="85"/>
    </row>
    <row r="390" spans="4:4" s="8" customFormat="1" x14ac:dyDescent="0.2">
      <c r="D390" s="85"/>
    </row>
    <row r="391" spans="4:4" s="8" customFormat="1" x14ac:dyDescent="0.2">
      <c r="D391" s="85"/>
    </row>
    <row r="392" spans="4:4" s="8" customFormat="1" x14ac:dyDescent="0.2">
      <c r="D392" s="85"/>
    </row>
    <row r="393" spans="4:4" s="8" customFormat="1" x14ac:dyDescent="0.2">
      <c r="D393" s="85"/>
    </row>
    <row r="394" spans="4:4" s="8" customFormat="1" x14ac:dyDescent="0.2">
      <c r="D394" s="85"/>
    </row>
    <row r="395" spans="4:4" s="8" customFormat="1" x14ac:dyDescent="0.2">
      <c r="D395" s="85"/>
    </row>
    <row r="396" spans="4:4" s="8" customFormat="1" x14ac:dyDescent="0.2">
      <c r="D396" s="85"/>
    </row>
    <row r="397" spans="4:4" s="8" customFormat="1" x14ac:dyDescent="0.2">
      <c r="D397" s="85"/>
    </row>
    <row r="398" spans="4:4" s="8" customFormat="1" x14ac:dyDescent="0.2">
      <c r="D398" s="85"/>
    </row>
    <row r="399" spans="4:4" s="8" customFormat="1" x14ac:dyDescent="0.2">
      <c r="D399" s="85"/>
    </row>
    <row r="400" spans="4:4" s="8" customFormat="1" x14ac:dyDescent="0.2">
      <c r="D400" s="85"/>
    </row>
    <row r="401" spans="4:4" s="8" customFormat="1" x14ac:dyDescent="0.2">
      <c r="D401" s="85"/>
    </row>
    <row r="402" spans="4:4" s="8" customFormat="1" x14ac:dyDescent="0.2">
      <c r="D402" s="85"/>
    </row>
    <row r="403" spans="4:4" s="8" customFormat="1" x14ac:dyDescent="0.2">
      <c r="D403" s="85"/>
    </row>
    <row r="404" spans="4:4" s="8" customFormat="1" x14ac:dyDescent="0.2">
      <c r="D404" s="85"/>
    </row>
    <row r="405" spans="4:4" s="8" customFormat="1" x14ac:dyDescent="0.2">
      <c r="D405" s="85"/>
    </row>
    <row r="406" spans="4:4" s="8" customFormat="1" x14ac:dyDescent="0.2">
      <c r="D406" s="85"/>
    </row>
    <row r="407" spans="4:4" s="8" customFormat="1" x14ac:dyDescent="0.2">
      <c r="D407" s="85"/>
    </row>
    <row r="408" spans="4:4" s="8" customFormat="1" x14ac:dyDescent="0.2">
      <c r="D408" s="85"/>
    </row>
    <row r="409" spans="4:4" s="8" customFormat="1" x14ac:dyDescent="0.2">
      <c r="D409" s="85"/>
    </row>
    <row r="410" spans="4:4" s="8" customFormat="1" x14ac:dyDescent="0.2">
      <c r="D410" s="85"/>
    </row>
    <row r="411" spans="4:4" s="8" customFormat="1" x14ac:dyDescent="0.2">
      <c r="D411" s="85"/>
    </row>
    <row r="412" spans="4:4" s="8" customFormat="1" x14ac:dyDescent="0.2">
      <c r="D412" s="85"/>
    </row>
    <row r="413" spans="4:4" s="8" customFormat="1" x14ac:dyDescent="0.2">
      <c r="D413" s="85"/>
    </row>
    <row r="414" spans="4:4" s="8" customFormat="1" x14ac:dyDescent="0.2">
      <c r="D414" s="85"/>
    </row>
    <row r="415" spans="4:4" s="8" customFormat="1" x14ac:dyDescent="0.2">
      <c r="D415" s="85"/>
    </row>
    <row r="416" spans="4:4" s="8" customFormat="1" x14ac:dyDescent="0.2">
      <c r="D416" s="85"/>
    </row>
    <row r="417" spans="4:4" s="8" customFormat="1" x14ac:dyDescent="0.2">
      <c r="D417" s="85"/>
    </row>
    <row r="418" spans="4:4" s="8" customFormat="1" x14ac:dyDescent="0.2">
      <c r="D418" s="85"/>
    </row>
    <row r="419" spans="4:4" s="8" customFormat="1" x14ac:dyDescent="0.2">
      <c r="D419" s="85"/>
    </row>
    <row r="420" spans="4:4" s="8" customFormat="1" x14ac:dyDescent="0.2">
      <c r="D420" s="85"/>
    </row>
    <row r="421" spans="4:4" s="8" customFormat="1" x14ac:dyDescent="0.2">
      <c r="D421" s="85"/>
    </row>
    <row r="422" spans="4:4" s="8" customFormat="1" x14ac:dyDescent="0.2">
      <c r="D422" s="85"/>
    </row>
    <row r="423" spans="4:4" s="8" customFormat="1" x14ac:dyDescent="0.2">
      <c r="D423" s="85"/>
    </row>
    <row r="424" spans="4:4" s="8" customFormat="1" x14ac:dyDescent="0.2">
      <c r="D424" s="85"/>
    </row>
    <row r="425" spans="4:4" s="8" customFormat="1" x14ac:dyDescent="0.2">
      <c r="D425" s="85"/>
    </row>
    <row r="426" spans="4:4" s="8" customFormat="1" x14ac:dyDescent="0.2">
      <c r="D426" s="85"/>
    </row>
    <row r="427" spans="4:4" s="8" customFormat="1" x14ac:dyDescent="0.2">
      <c r="D427" s="85"/>
    </row>
    <row r="428" spans="4:4" s="8" customFormat="1" x14ac:dyDescent="0.2">
      <c r="D428" s="85"/>
    </row>
  </sheetData>
  <sheetProtection algorithmName="SHA-512" hashValue="+ow8gIBF0okw4/HRxpMzZk47xyLt3n32bibS93aTv8thyPpqr2DyrUM9M0N5WMFdMHYKPsYM5/tP5C0IGsMr4g==" saltValue="YNz3UdhvO0S/Lhi/RD/2Qg==" spinCount="100000" sheet="1" objects="1" scenarios="1" formatCells="0" formatColumns="0" formatRows="0"/>
  <mergeCells count="24">
    <mergeCell ref="B8:I8"/>
    <mergeCell ref="B59:C59"/>
    <mergeCell ref="B80:C80"/>
    <mergeCell ref="B89:C89"/>
    <mergeCell ref="B64:C64"/>
    <mergeCell ref="B68:C68"/>
    <mergeCell ref="B85:C85"/>
    <mergeCell ref="B11:I11"/>
    <mergeCell ref="B14:I14"/>
    <mergeCell ref="B66:C66"/>
    <mergeCell ref="B87:C87"/>
    <mergeCell ref="B49:C49"/>
    <mergeCell ref="B51:C51"/>
    <mergeCell ref="B76:I76"/>
    <mergeCell ref="B109:C109"/>
    <mergeCell ref="B111:C111"/>
    <mergeCell ref="B99:I99"/>
    <mergeCell ref="B70:C70"/>
    <mergeCell ref="B72:C72"/>
    <mergeCell ref="B74:C74"/>
    <mergeCell ref="B101:C101"/>
    <mergeCell ref="B103:C103"/>
    <mergeCell ref="B105:C105"/>
    <mergeCell ref="B107:C107"/>
  </mergeCells>
  <dataValidations count="1">
    <dataValidation type="list" allowBlank="1" showInputMessage="1" showErrorMessage="1" sqref="G23">
      <formula1>Units</formula1>
    </dataValidation>
  </dataValidations>
  <hyperlinks>
    <hyperlink ref="B115" location="'PT8-injection'!A1" display="Go to the top of the pag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6"/>
  <sheetViews>
    <sheetView zoomScale="95" zoomScaleNormal="95" workbookViewId="0"/>
  </sheetViews>
  <sheetFormatPr defaultColWidth="8.75" defaultRowHeight="12.75" x14ac:dyDescent="0.2"/>
  <cols>
    <col min="1" max="1" width="1.625" style="8" customWidth="1"/>
    <col min="2" max="2" width="50.625" style="11" customWidth="1"/>
    <col min="3" max="3" width="1.625" style="11" customWidth="1"/>
    <col min="4" max="4" width="20.625" style="91" customWidth="1"/>
    <col min="5" max="5" width="15.625" style="11" customWidth="1"/>
    <col min="6" max="7" width="10.625" style="11" customWidth="1"/>
    <col min="8" max="8" width="50.625" style="11" customWidth="1"/>
    <col min="9" max="9" width="15.625" style="8" customWidth="1"/>
    <col min="10" max="58" width="8.75" style="8"/>
    <col min="59" max="16384" width="8.75" style="11"/>
  </cols>
  <sheetData>
    <row r="1" spans="1:63" x14ac:dyDescent="0.2">
      <c r="A1" s="10"/>
      <c r="B1" s="10"/>
      <c r="C1" s="10"/>
      <c r="D1" s="61"/>
      <c r="E1" s="10"/>
      <c r="F1" s="10"/>
      <c r="G1" s="10"/>
      <c r="H1" s="10"/>
      <c r="I1" s="10"/>
      <c r="J1" s="10"/>
    </row>
    <row r="2" spans="1:63" ht="20.25" x14ac:dyDescent="0.2">
      <c r="A2" s="10"/>
      <c r="B2" s="64" t="s">
        <v>35</v>
      </c>
      <c r="C2" s="65"/>
      <c r="D2" s="66"/>
      <c r="E2" s="10"/>
      <c r="F2" s="10"/>
      <c r="G2" s="10"/>
      <c r="H2" s="10"/>
      <c r="I2" s="10"/>
      <c r="J2" s="10"/>
    </row>
    <row r="3" spans="1:63" x14ac:dyDescent="0.2">
      <c r="A3" s="10"/>
      <c r="B3" s="67"/>
      <c r="C3" s="67"/>
      <c r="D3" s="68"/>
      <c r="E3" s="10"/>
      <c r="F3" s="10"/>
      <c r="G3" s="10"/>
      <c r="H3" s="10"/>
      <c r="I3" s="10"/>
      <c r="J3" s="10"/>
    </row>
    <row r="4" spans="1:63" ht="15" x14ac:dyDescent="0.2">
      <c r="A4" s="10"/>
      <c r="B4" s="69"/>
      <c r="C4" s="69"/>
      <c r="D4" s="70"/>
      <c r="E4" s="10"/>
      <c r="F4" s="10"/>
      <c r="G4" s="10"/>
      <c r="H4" s="10"/>
      <c r="I4" s="10"/>
      <c r="J4" s="10"/>
    </row>
    <row r="5" spans="1:63" ht="18" x14ac:dyDescent="0.2">
      <c r="A5" s="10"/>
      <c r="B5" s="55" t="s">
        <v>512</v>
      </c>
      <c r="C5" s="5"/>
      <c r="D5" s="21"/>
      <c r="E5" s="71"/>
      <c r="F5" s="71"/>
      <c r="G5" s="71"/>
      <c r="H5" s="72"/>
      <c r="I5" s="10"/>
      <c r="J5" s="10"/>
    </row>
    <row r="6" spans="1:63" s="75" customFormat="1" x14ac:dyDescent="0.2">
      <c r="A6" s="73"/>
      <c r="B6" s="33"/>
      <c r="C6" s="33"/>
      <c r="D6" s="40"/>
      <c r="E6" s="73"/>
      <c r="F6" s="73"/>
      <c r="G6" s="73"/>
      <c r="H6" s="73"/>
      <c r="I6" s="73"/>
      <c r="J6" s="73"/>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row>
    <row r="7" spans="1:63" s="75" customFormat="1" ht="14.25" x14ac:dyDescent="0.2">
      <c r="A7" s="73"/>
      <c r="B7" s="56" t="s">
        <v>493</v>
      </c>
      <c r="C7" s="57"/>
      <c r="D7" s="58"/>
      <c r="E7" s="76"/>
      <c r="F7" s="76"/>
      <c r="G7" s="76"/>
      <c r="H7" s="76"/>
      <c r="I7" s="73"/>
      <c r="J7" s="73"/>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row>
    <row r="8" spans="1:63" s="8" customFormat="1" ht="31.5" customHeight="1" x14ac:dyDescent="0.2">
      <c r="B8" s="372" t="s">
        <v>301</v>
      </c>
      <c r="C8" s="372"/>
      <c r="D8" s="372"/>
      <c r="E8" s="372"/>
      <c r="F8" s="372"/>
      <c r="G8" s="372"/>
      <c r="H8" s="372"/>
      <c r="I8" s="42"/>
      <c r="J8" s="42"/>
    </row>
    <row r="9" spans="1:63" s="8" customFormat="1" ht="14.25" x14ac:dyDescent="0.2">
      <c r="B9" s="130"/>
      <c r="C9" s="130"/>
      <c r="D9" s="130"/>
      <c r="E9" s="130"/>
      <c r="F9" s="130"/>
      <c r="G9" s="130"/>
      <c r="H9" s="130"/>
      <c r="I9" s="42"/>
      <c r="J9" s="42"/>
    </row>
    <row r="10" spans="1:63" ht="15" x14ac:dyDescent="0.2">
      <c r="A10" s="10"/>
      <c r="B10" s="59" t="s">
        <v>412</v>
      </c>
      <c r="C10" s="81"/>
      <c r="D10" s="81"/>
      <c r="E10" s="10"/>
      <c r="F10" s="10"/>
      <c r="G10" s="10"/>
      <c r="H10" s="10"/>
      <c r="I10" s="10"/>
      <c r="BF10" s="11"/>
    </row>
    <row r="11" spans="1:63" s="8" customFormat="1" x14ac:dyDescent="0.2">
      <c r="B11" s="366"/>
      <c r="C11" s="366"/>
      <c r="D11" s="366"/>
      <c r="E11" s="366"/>
      <c r="F11" s="366"/>
      <c r="G11" s="366"/>
      <c r="H11" s="366"/>
    </row>
    <row r="12" spans="1:63" x14ac:dyDescent="0.2">
      <c r="A12" s="10"/>
      <c r="B12" s="82" t="s">
        <v>19</v>
      </c>
      <c r="C12" s="82"/>
      <c r="D12" s="77"/>
      <c r="E12" s="77"/>
      <c r="F12" s="77"/>
      <c r="G12" s="77"/>
      <c r="H12" s="83"/>
      <c r="AQ12" s="11"/>
      <c r="AR12" s="11"/>
      <c r="AS12" s="11"/>
      <c r="AT12" s="11"/>
      <c r="AU12" s="11"/>
      <c r="AV12" s="11"/>
      <c r="AW12" s="11"/>
      <c r="AX12" s="11"/>
      <c r="AY12" s="11"/>
      <c r="AZ12" s="11"/>
      <c r="BA12" s="11"/>
      <c r="BB12" s="11"/>
      <c r="BC12" s="11"/>
      <c r="BD12" s="11"/>
      <c r="BE12" s="11"/>
      <c r="BF12" s="11"/>
    </row>
    <row r="13" spans="1:63" ht="15" customHeight="1" x14ac:dyDescent="0.2">
      <c r="A13" s="10"/>
      <c r="B13" s="366" t="s">
        <v>785</v>
      </c>
      <c r="C13" s="366"/>
      <c r="D13" s="366"/>
      <c r="E13" s="366"/>
      <c r="F13" s="366"/>
      <c r="G13" s="366"/>
      <c r="H13" s="366"/>
      <c r="AQ13" s="11"/>
      <c r="AR13" s="11"/>
      <c r="AS13" s="11"/>
      <c r="AT13" s="11"/>
      <c r="AU13" s="11"/>
      <c r="AV13" s="11"/>
      <c r="AW13" s="11"/>
      <c r="AX13" s="11"/>
      <c r="AY13" s="11"/>
      <c r="AZ13" s="11"/>
      <c r="BA13" s="11"/>
      <c r="BB13" s="11"/>
      <c r="BC13" s="11"/>
      <c r="BD13" s="11"/>
      <c r="BE13" s="11"/>
      <c r="BF13" s="11"/>
    </row>
    <row r="14" spans="1:63" ht="15" customHeight="1" x14ac:dyDescent="0.2">
      <c r="A14" s="10"/>
      <c r="B14" s="352" t="s">
        <v>977</v>
      </c>
      <c r="C14" s="351"/>
      <c r="D14" s="351"/>
      <c r="E14" s="351"/>
      <c r="F14" s="351"/>
      <c r="G14" s="351"/>
      <c r="H14" s="351"/>
      <c r="AQ14" s="11"/>
      <c r="AR14" s="11"/>
      <c r="AS14" s="11"/>
      <c r="AT14" s="11"/>
      <c r="AU14" s="11"/>
      <c r="AV14" s="11"/>
      <c r="AW14" s="11"/>
      <c r="AX14" s="11"/>
      <c r="AY14" s="11"/>
      <c r="AZ14" s="11"/>
      <c r="BA14" s="11"/>
      <c r="BB14" s="11"/>
      <c r="BC14" s="11"/>
      <c r="BD14" s="11"/>
      <c r="BE14" s="11"/>
      <c r="BF14" s="11"/>
    </row>
    <row r="15" spans="1:63" ht="15" customHeight="1" x14ac:dyDescent="0.2">
      <c r="A15" s="10"/>
      <c r="B15" s="366" t="s">
        <v>278</v>
      </c>
      <c r="C15" s="366"/>
      <c r="D15" s="366"/>
      <c r="E15" s="366"/>
      <c r="F15" s="366"/>
      <c r="G15" s="366"/>
      <c r="H15" s="366"/>
      <c r="I15" s="10"/>
      <c r="J15" s="10"/>
      <c r="K15" s="10"/>
      <c r="L15" s="10"/>
      <c r="M15" s="10"/>
      <c r="N15" s="10"/>
      <c r="O15" s="10"/>
      <c r="BG15" s="8"/>
      <c r="BH15" s="8"/>
      <c r="BI15" s="8"/>
      <c r="BJ15" s="8"/>
      <c r="BK15" s="8"/>
    </row>
    <row r="16" spans="1:63" s="8" customFormat="1" ht="3" customHeight="1" x14ac:dyDescent="0.2">
      <c r="A16" s="10"/>
      <c r="C16" s="31"/>
      <c r="D16" s="32"/>
      <c r="E16" s="84"/>
      <c r="F16" s="84"/>
      <c r="G16" s="84"/>
      <c r="H16" s="10"/>
      <c r="I16" s="10"/>
      <c r="J16" s="10"/>
    </row>
    <row r="17" spans="1:58" ht="15" x14ac:dyDescent="0.2">
      <c r="A17" s="10"/>
      <c r="B17" s="4" t="s">
        <v>0</v>
      </c>
      <c r="C17" s="4"/>
      <c r="D17" s="12"/>
      <c r="E17" s="12"/>
      <c r="F17" s="12"/>
      <c r="G17" s="12"/>
      <c r="H17" s="13"/>
      <c r="AQ17" s="11"/>
      <c r="AR17" s="11"/>
      <c r="AS17" s="11"/>
      <c r="AT17" s="11"/>
      <c r="AU17" s="11"/>
      <c r="AV17" s="11"/>
      <c r="AW17" s="11"/>
      <c r="AX17" s="11"/>
      <c r="AY17" s="11"/>
      <c r="AZ17" s="11"/>
      <c r="BA17" s="11"/>
      <c r="BB17" s="11"/>
      <c r="BC17" s="11"/>
      <c r="BD17" s="11"/>
      <c r="BE17" s="11"/>
      <c r="BF17" s="11"/>
    </row>
    <row r="18" spans="1:58" x14ac:dyDescent="0.2">
      <c r="A18" s="10"/>
      <c r="B18" s="6"/>
      <c r="C18" s="6"/>
      <c r="D18" s="6"/>
      <c r="E18" s="6"/>
      <c r="F18" s="6"/>
      <c r="G18" s="6"/>
      <c r="H18" s="22"/>
      <c r="AQ18" s="11"/>
      <c r="AR18" s="11"/>
      <c r="AS18" s="11"/>
      <c r="AT18" s="11"/>
      <c r="AU18" s="11"/>
      <c r="AV18" s="11"/>
      <c r="AW18" s="11"/>
      <c r="AX18" s="11"/>
      <c r="AY18" s="11"/>
      <c r="AZ18" s="11"/>
      <c r="BA18" s="11"/>
      <c r="BB18" s="11"/>
      <c r="BC18" s="11"/>
      <c r="BD18" s="11"/>
      <c r="BE18" s="11"/>
      <c r="BF18" s="11"/>
    </row>
    <row r="19" spans="1:58" ht="15" x14ac:dyDescent="0.2">
      <c r="A19" s="10"/>
      <c r="B19" s="14" t="s">
        <v>2</v>
      </c>
      <c r="C19" s="14"/>
      <c r="D19" s="15" t="s">
        <v>4</v>
      </c>
      <c r="E19" s="16" t="s">
        <v>7</v>
      </c>
      <c r="F19" s="16" t="s">
        <v>3</v>
      </c>
      <c r="G19" s="16" t="s">
        <v>11</v>
      </c>
      <c r="H19" s="15" t="s">
        <v>34</v>
      </c>
      <c r="AQ19" s="11"/>
      <c r="AR19" s="11"/>
      <c r="AS19" s="11"/>
      <c r="AT19" s="11"/>
      <c r="AU19" s="11"/>
      <c r="AV19" s="11"/>
      <c r="AW19" s="11"/>
      <c r="AX19" s="11"/>
      <c r="AY19" s="11"/>
      <c r="AZ19" s="11"/>
      <c r="BA19" s="11"/>
      <c r="BB19" s="11"/>
      <c r="BC19" s="11"/>
      <c r="BD19" s="11"/>
      <c r="BE19" s="11"/>
      <c r="BF19" s="11"/>
    </row>
    <row r="20" spans="1:58" x14ac:dyDescent="0.2">
      <c r="A20" s="10"/>
      <c r="B20" s="128"/>
      <c r="C20" s="14"/>
      <c r="D20" s="15"/>
      <c r="E20" s="16"/>
      <c r="F20" s="16"/>
      <c r="G20" s="16"/>
      <c r="H20" s="15"/>
      <c r="AQ20" s="11"/>
      <c r="AR20" s="11"/>
      <c r="AS20" s="11"/>
      <c r="AT20" s="11"/>
      <c r="AU20" s="11"/>
      <c r="AV20" s="11"/>
      <c r="AW20" s="11"/>
      <c r="AX20" s="11"/>
      <c r="AY20" s="11"/>
      <c r="AZ20" s="11"/>
      <c r="BA20" s="11"/>
      <c r="BB20" s="11"/>
      <c r="BC20" s="11"/>
      <c r="BD20" s="11"/>
      <c r="BE20" s="11"/>
      <c r="BF20" s="11"/>
    </row>
    <row r="21" spans="1:58" ht="15" x14ac:dyDescent="0.2">
      <c r="A21" s="10"/>
      <c r="B21" s="193" t="s">
        <v>293</v>
      </c>
      <c r="C21" s="14"/>
      <c r="D21" s="30" t="s">
        <v>294</v>
      </c>
      <c r="E21" s="272">
        <v>0.8</v>
      </c>
      <c r="F21" s="7" t="s">
        <v>14</v>
      </c>
      <c r="G21" s="7" t="s">
        <v>13</v>
      </c>
      <c r="H21" s="15"/>
      <c r="AQ21" s="11"/>
      <c r="AR21" s="11"/>
      <c r="AS21" s="11"/>
      <c r="AT21" s="11"/>
      <c r="AU21" s="11"/>
      <c r="AV21" s="11"/>
      <c r="AW21" s="11"/>
      <c r="AX21" s="11"/>
      <c r="AY21" s="11"/>
      <c r="AZ21" s="11"/>
      <c r="BA21" s="11"/>
      <c r="BB21" s="11"/>
      <c r="BC21" s="11"/>
      <c r="BD21" s="11"/>
      <c r="BE21" s="11"/>
      <c r="BF21" s="11"/>
    </row>
    <row r="22" spans="1:58" ht="5.0999999999999996" customHeight="1" x14ac:dyDescent="0.2">
      <c r="A22" s="10"/>
      <c r="B22" s="128"/>
      <c r="C22" s="14"/>
      <c r="D22" s="30"/>
      <c r="E22" s="272"/>
      <c r="F22" s="7"/>
      <c r="G22" s="7"/>
      <c r="H22" s="15"/>
      <c r="AQ22" s="11"/>
      <c r="AR22" s="11"/>
      <c r="AS22" s="11"/>
      <c r="AT22" s="11"/>
      <c r="AU22" s="11"/>
      <c r="AV22" s="11"/>
      <c r="AW22" s="11"/>
      <c r="AX22" s="11"/>
      <c r="AY22" s="11"/>
      <c r="AZ22" s="11"/>
      <c r="BA22" s="11"/>
      <c r="BB22" s="11"/>
      <c r="BC22" s="11"/>
      <c r="BD22" s="11"/>
      <c r="BE22" s="11"/>
      <c r="BF22" s="11"/>
    </row>
    <row r="23" spans="1:58" s="8" customFormat="1" x14ac:dyDescent="0.2">
      <c r="B23" s="193" t="s">
        <v>72</v>
      </c>
      <c r="C23" s="34"/>
      <c r="D23" s="128" t="s">
        <v>73</v>
      </c>
      <c r="E23" s="273">
        <v>30</v>
      </c>
      <c r="F23" s="7" t="s">
        <v>10</v>
      </c>
      <c r="G23" s="7" t="s">
        <v>13</v>
      </c>
      <c r="H23" s="34"/>
    </row>
    <row r="24" spans="1:58" s="8" customFormat="1" ht="5.0999999999999996" customHeight="1" x14ac:dyDescent="0.2">
      <c r="B24" s="296"/>
      <c r="C24" s="34"/>
      <c r="D24" s="22"/>
      <c r="E24" s="273"/>
      <c r="F24" s="19"/>
      <c r="G24" s="7"/>
      <c r="H24" s="34"/>
    </row>
    <row r="25" spans="1:58" s="8" customFormat="1" ht="53.25" x14ac:dyDescent="0.2">
      <c r="B25" s="296" t="s">
        <v>721</v>
      </c>
      <c r="C25" s="34"/>
      <c r="D25" s="22" t="s">
        <v>75</v>
      </c>
      <c r="E25" s="273">
        <v>365</v>
      </c>
      <c r="F25" s="19" t="s">
        <v>10</v>
      </c>
      <c r="G25" s="7" t="s">
        <v>13</v>
      </c>
      <c r="H25" s="146" t="s">
        <v>966</v>
      </c>
    </row>
    <row r="26" spans="1:58" s="8" customFormat="1" ht="5.0999999999999996" customHeight="1" x14ac:dyDescent="0.2">
      <c r="B26" s="193"/>
      <c r="C26" s="34"/>
      <c r="D26" s="22"/>
      <c r="E26" s="273"/>
      <c r="F26" s="19"/>
      <c r="G26" s="7"/>
      <c r="H26" s="34"/>
    </row>
    <row r="27" spans="1:58" s="8" customFormat="1" x14ac:dyDescent="0.2">
      <c r="B27" s="193" t="s">
        <v>74</v>
      </c>
      <c r="C27" s="34"/>
      <c r="D27" s="22" t="s">
        <v>676</v>
      </c>
      <c r="E27" s="273">
        <v>1825</v>
      </c>
      <c r="F27" s="19" t="s">
        <v>10</v>
      </c>
      <c r="G27" s="7" t="s">
        <v>13</v>
      </c>
      <c r="H27" s="92" t="s">
        <v>635</v>
      </c>
    </row>
    <row r="28" spans="1:58" s="8" customFormat="1" ht="5.0999999999999996" customHeight="1" x14ac:dyDescent="0.2">
      <c r="B28" s="128"/>
      <c r="C28" s="128"/>
      <c r="D28" s="30"/>
      <c r="E28" s="273"/>
      <c r="F28" s="7"/>
      <c r="G28" s="7"/>
      <c r="H28" s="7"/>
    </row>
    <row r="29" spans="1:58" s="8" customFormat="1" ht="30" customHeight="1" x14ac:dyDescent="0.2">
      <c r="B29" s="193" t="s">
        <v>193</v>
      </c>
      <c r="C29" s="34"/>
      <c r="D29" s="128" t="s">
        <v>194</v>
      </c>
      <c r="E29" s="274"/>
      <c r="F29" s="19" t="s">
        <v>813</v>
      </c>
      <c r="G29" s="19" t="s">
        <v>6</v>
      </c>
      <c r="H29" s="34"/>
    </row>
    <row r="30" spans="1:58" s="8" customFormat="1" ht="5.0999999999999996" customHeight="1" x14ac:dyDescent="0.2">
      <c r="B30" s="296"/>
      <c r="C30" s="34"/>
      <c r="D30" s="22"/>
      <c r="E30" s="273"/>
      <c r="F30" s="19"/>
      <c r="G30" s="19"/>
      <c r="H30" s="34"/>
    </row>
    <row r="31" spans="1:58" s="8" customFormat="1" ht="27.75" customHeight="1" x14ac:dyDescent="0.2">
      <c r="B31" s="296" t="s">
        <v>761</v>
      </c>
      <c r="C31" s="34"/>
      <c r="D31" s="296" t="s">
        <v>196</v>
      </c>
      <c r="E31" s="274"/>
      <c r="F31" s="19" t="s">
        <v>813</v>
      </c>
      <c r="G31" s="19" t="s">
        <v>6</v>
      </c>
      <c r="H31" s="92"/>
    </row>
    <row r="32" spans="1:58" s="8" customFormat="1" ht="5.0999999999999996" customHeight="1" x14ac:dyDescent="0.2">
      <c r="B32" s="193"/>
      <c r="C32" s="34"/>
      <c r="D32" s="22"/>
      <c r="E32" s="273"/>
      <c r="F32" s="19"/>
      <c r="G32" s="19"/>
      <c r="H32" s="34"/>
    </row>
    <row r="33" spans="1:58" s="8" customFormat="1" ht="27.75" customHeight="1" x14ac:dyDescent="0.2">
      <c r="B33" s="193" t="s">
        <v>195</v>
      </c>
      <c r="C33" s="34"/>
      <c r="D33" s="128" t="s">
        <v>684</v>
      </c>
      <c r="E33" s="274"/>
      <c r="F33" s="19" t="s">
        <v>813</v>
      </c>
      <c r="G33" s="19" t="s">
        <v>6</v>
      </c>
      <c r="H33" s="92"/>
    </row>
    <row r="34" spans="1:58" s="8" customFormat="1" ht="5.0999999999999996" customHeight="1" x14ac:dyDescent="0.2">
      <c r="B34" s="128"/>
      <c r="C34" s="34"/>
      <c r="D34" s="22"/>
      <c r="E34" s="273"/>
      <c r="F34" s="19"/>
      <c r="G34" s="19"/>
      <c r="H34" s="34"/>
    </row>
    <row r="35" spans="1:58" s="8" customFormat="1" ht="15" x14ac:dyDescent="0.2">
      <c r="B35" s="128" t="s">
        <v>283</v>
      </c>
      <c r="C35" s="34"/>
      <c r="D35" s="22" t="s">
        <v>23</v>
      </c>
      <c r="E35" s="278">
        <v>2.97</v>
      </c>
      <c r="F35" s="19" t="s">
        <v>285</v>
      </c>
      <c r="G35" s="19" t="s">
        <v>13</v>
      </c>
      <c r="H35" s="92"/>
    </row>
    <row r="36" spans="1:58" s="8" customFormat="1" ht="5.0999999999999996" customHeight="1" x14ac:dyDescent="0.2">
      <c r="B36" s="128"/>
      <c r="C36" s="34"/>
      <c r="D36" s="22"/>
      <c r="E36" s="277"/>
      <c r="F36" s="7"/>
      <c r="G36" s="7"/>
      <c r="H36" s="107"/>
    </row>
    <row r="37" spans="1:58" s="8" customFormat="1" ht="15" x14ac:dyDescent="0.2">
      <c r="B37" s="128" t="s">
        <v>25</v>
      </c>
      <c r="C37" s="34"/>
      <c r="D37" s="22" t="s">
        <v>30</v>
      </c>
      <c r="E37" s="278">
        <v>1700</v>
      </c>
      <c r="F37" s="7" t="s">
        <v>26</v>
      </c>
      <c r="G37" s="7" t="s">
        <v>13</v>
      </c>
      <c r="H37" s="107"/>
    </row>
    <row r="38" spans="1:58" s="75" customFormat="1" x14ac:dyDescent="0.2">
      <c r="A38" s="73"/>
      <c r="B38" s="330"/>
      <c r="C38" s="29"/>
      <c r="D38" s="29"/>
      <c r="E38" s="7"/>
      <c r="F38" s="16"/>
      <c r="G38" s="19"/>
      <c r="H38" s="19"/>
      <c r="I38" s="8"/>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row>
    <row r="39" spans="1:58" s="8" customFormat="1" x14ac:dyDescent="0.2">
      <c r="B39" s="244" t="s">
        <v>558</v>
      </c>
      <c r="C39" s="244"/>
      <c r="D39" s="34"/>
      <c r="E39" s="22"/>
      <c r="F39" s="7"/>
      <c r="G39" s="19"/>
      <c r="H39" s="7"/>
    </row>
    <row r="40" spans="1:58" s="8" customFormat="1" x14ac:dyDescent="0.2">
      <c r="B40" s="329"/>
      <c r="C40" s="329"/>
      <c r="D40" s="34"/>
      <c r="E40" s="22"/>
      <c r="F40" s="7"/>
      <c r="G40" s="19"/>
      <c r="H40" s="7"/>
    </row>
    <row r="41" spans="1:58" s="8" customFormat="1" ht="15" x14ac:dyDescent="0.2">
      <c r="B41" s="362" t="s">
        <v>448</v>
      </c>
      <c r="C41" s="362"/>
      <c r="D41" s="30" t="s">
        <v>449</v>
      </c>
      <c r="E41" s="274"/>
      <c r="F41" s="7" t="s">
        <v>450</v>
      </c>
      <c r="G41" s="7" t="s">
        <v>6</v>
      </c>
      <c r="H41" s="34"/>
    </row>
    <row r="42" spans="1:58" s="8" customFormat="1" ht="5.0999999999999996" customHeight="1" x14ac:dyDescent="0.2">
      <c r="B42" s="329"/>
      <c r="C42" s="329"/>
      <c r="D42" s="331"/>
      <c r="E42" s="273"/>
      <c r="F42" s="19"/>
      <c r="G42" s="7"/>
      <c r="H42" s="34"/>
    </row>
    <row r="43" spans="1:58" s="8" customFormat="1" ht="17.25" customHeight="1" x14ac:dyDescent="0.2">
      <c r="B43" s="362" t="s">
        <v>442</v>
      </c>
      <c r="C43" s="362"/>
      <c r="D43" s="41" t="s">
        <v>653</v>
      </c>
      <c r="E43" s="326"/>
      <c r="F43" s="19" t="s">
        <v>443</v>
      </c>
      <c r="G43" s="7" t="s">
        <v>6</v>
      </c>
      <c r="H43" s="34"/>
    </row>
    <row r="44" spans="1:58" s="75" customFormat="1" x14ac:dyDescent="0.2">
      <c r="A44" s="73"/>
      <c r="B44" s="330"/>
      <c r="C44" s="29"/>
      <c r="D44" s="29"/>
      <c r="E44" s="7"/>
      <c r="F44" s="16"/>
      <c r="G44" s="19"/>
      <c r="H44" s="19"/>
      <c r="I44" s="8"/>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row>
    <row r="45" spans="1:58" ht="15" x14ac:dyDescent="0.2">
      <c r="A45" s="10"/>
      <c r="B45" s="4" t="s">
        <v>1</v>
      </c>
      <c r="C45" s="4"/>
      <c r="D45" s="4"/>
      <c r="E45" s="12"/>
      <c r="F45" s="12"/>
      <c r="G45" s="12"/>
      <c r="H45" s="12"/>
      <c r="AR45" s="11"/>
      <c r="AS45" s="11"/>
      <c r="AT45" s="11"/>
      <c r="AU45" s="11"/>
      <c r="AV45" s="11"/>
      <c r="AW45" s="11"/>
      <c r="AX45" s="11"/>
      <c r="AY45" s="11"/>
      <c r="AZ45" s="11"/>
      <c r="BA45" s="11"/>
      <c r="BB45" s="11"/>
      <c r="BC45" s="11"/>
      <c r="BD45" s="11"/>
      <c r="BE45" s="11"/>
      <c r="BF45" s="11"/>
    </row>
    <row r="46" spans="1:58" x14ac:dyDescent="0.2">
      <c r="A46" s="10"/>
      <c r="B46" s="6"/>
      <c r="C46" s="6"/>
      <c r="D46" s="6"/>
      <c r="E46" s="6"/>
      <c r="F46" s="6"/>
      <c r="G46" s="6"/>
      <c r="H46" s="6"/>
      <c r="AR46" s="11"/>
      <c r="AS46" s="11"/>
      <c r="AT46" s="11"/>
      <c r="AU46" s="11"/>
      <c r="AV46" s="11"/>
      <c r="AW46" s="11"/>
      <c r="AX46" s="11"/>
      <c r="AY46" s="11"/>
      <c r="AZ46" s="11"/>
      <c r="BA46" s="11"/>
      <c r="BB46" s="11"/>
      <c r="BC46" s="11"/>
      <c r="BD46" s="11"/>
      <c r="BE46" s="11"/>
      <c r="BF46" s="11"/>
    </row>
    <row r="47" spans="1:58" ht="15" x14ac:dyDescent="0.2">
      <c r="A47" s="10"/>
      <c r="B47" s="14" t="s">
        <v>2</v>
      </c>
      <c r="C47" s="14"/>
      <c r="D47" s="15" t="s">
        <v>4</v>
      </c>
      <c r="E47" s="16" t="s">
        <v>7</v>
      </c>
      <c r="F47" s="16" t="s">
        <v>3</v>
      </c>
      <c r="G47" s="16" t="s">
        <v>11</v>
      </c>
      <c r="H47" s="15" t="s">
        <v>34</v>
      </c>
      <c r="AR47" s="11"/>
      <c r="AS47" s="11"/>
      <c r="AT47" s="11"/>
      <c r="AU47" s="11"/>
      <c r="AV47" s="11"/>
      <c r="AW47" s="11"/>
      <c r="AX47" s="11"/>
      <c r="AY47" s="11"/>
      <c r="AZ47" s="11"/>
      <c r="BA47" s="11"/>
      <c r="BB47" s="11"/>
      <c r="BC47" s="11"/>
      <c r="BD47" s="11"/>
      <c r="BE47" s="11"/>
      <c r="BF47" s="11"/>
    </row>
    <row r="48" spans="1:58" x14ac:dyDescent="0.2">
      <c r="A48" s="10"/>
      <c r="B48" s="14"/>
      <c r="C48" s="14"/>
      <c r="D48" s="15"/>
      <c r="E48" s="16"/>
      <c r="F48" s="16"/>
      <c r="G48" s="16"/>
      <c r="H48" s="15"/>
      <c r="AR48" s="11"/>
      <c r="AS48" s="11"/>
      <c r="AT48" s="11"/>
      <c r="AU48" s="11"/>
      <c r="AV48" s="11"/>
      <c r="AW48" s="11"/>
      <c r="AX48" s="11"/>
      <c r="AY48" s="11"/>
      <c r="AZ48" s="11"/>
      <c r="BA48" s="11"/>
      <c r="BB48" s="11"/>
      <c r="BC48" s="11"/>
      <c r="BD48" s="11"/>
      <c r="BE48" s="11"/>
      <c r="BF48" s="11"/>
    </row>
    <row r="49" spans="1:58" s="8" customFormat="1" ht="25.15" customHeight="1" x14ac:dyDescent="0.2">
      <c r="A49" s="10"/>
      <c r="B49" s="362" t="s">
        <v>198</v>
      </c>
      <c r="C49" s="362"/>
      <c r="D49" s="30" t="s">
        <v>202</v>
      </c>
      <c r="E49" s="228" t="str">
        <f>IF(ISNUMBER(Q_leach_TIME1),AREApole_below*Q_leach_TIME1,"??")</f>
        <v>??</v>
      </c>
      <c r="F49" s="19" t="s">
        <v>794</v>
      </c>
      <c r="G49" s="7" t="s">
        <v>8</v>
      </c>
      <c r="H49" s="126" t="s">
        <v>295</v>
      </c>
    </row>
    <row r="50" spans="1:58" s="8" customFormat="1" ht="5.0999999999999996" customHeight="1" x14ac:dyDescent="0.2">
      <c r="A50" s="10"/>
      <c r="B50" s="296"/>
      <c r="C50" s="296"/>
      <c r="D50" s="30"/>
      <c r="E50" s="30"/>
      <c r="F50" s="19"/>
      <c r="G50" s="7"/>
      <c r="H50" s="20"/>
    </row>
    <row r="51" spans="1:58" s="8" customFormat="1" ht="25.15" customHeight="1" x14ac:dyDescent="0.2">
      <c r="A51" s="10"/>
      <c r="B51" s="362" t="s">
        <v>763</v>
      </c>
      <c r="C51" s="362"/>
      <c r="D51" s="30" t="s">
        <v>203</v>
      </c>
      <c r="E51" s="228" t="str">
        <f>IF(ISNUMBER(Q_leach_TIME2),AREApole_below*Q_leach_TIME2,"??")</f>
        <v>??</v>
      </c>
      <c r="F51" s="19" t="s">
        <v>794</v>
      </c>
      <c r="G51" s="7" t="s">
        <v>8</v>
      </c>
      <c r="H51" s="126" t="s">
        <v>296</v>
      </c>
    </row>
    <row r="52" spans="1:58" s="8" customFormat="1" ht="5.0999999999999996" customHeight="1" x14ac:dyDescent="0.2">
      <c r="A52" s="10"/>
      <c r="B52" s="128"/>
      <c r="C52" s="128"/>
      <c r="D52" s="30"/>
      <c r="E52" s="30"/>
      <c r="F52" s="19"/>
      <c r="G52" s="7"/>
      <c r="H52" s="20"/>
    </row>
    <row r="53" spans="1:58" s="8" customFormat="1" ht="25.15" customHeight="1" x14ac:dyDescent="0.2">
      <c r="A53" s="10"/>
      <c r="B53" s="362" t="s">
        <v>199</v>
      </c>
      <c r="C53" s="362"/>
      <c r="D53" s="30" t="s">
        <v>678</v>
      </c>
      <c r="E53" s="228" t="str">
        <f>IF(ISNUMBER(Q_leach_TIME3),AREApole_below*Q_leach_TIME3,"??")</f>
        <v>??</v>
      </c>
      <c r="F53" s="19" t="s">
        <v>794</v>
      </c>
      <c r="G53" s="7" t="s">
        <v>8</v>
      </c>
      <c r="H53" s="126" t="s">
        <v>768</v>
      </c>
    </row>
    <row r="54" spans="1:58" x14ac:dyDescent="0.2">
      <c r="A54" s="10"/>
      <c r="B54" s="14"/>
      <c r="C54" s="14"/>
      <c r="D54" s="15"/>
      <c r="E54" s="16"/>
      <c r="F54" s="16"/>
      <c r="G54" s="16"/>
      <c r="H54" s="15"/>
      <c r="AR54" s="11"/>
      <c r="AS54" s="11"/>
      <c r="AT54" s="11"/>
      <c r="AU54" s="11"/>
      <c r="AV54" s="11"/>
      <c r="AW54" s="11"/>
      <c r="AX54" s="11"/>
      <c r="AY54" s="11"/>
      <c r="AZ54" s="11"/>
      <c r="BA54" s="11"/>
      <c r="BB54" s="11"/>
      <c r="BC54" s="11"/>
      <c r="BD54" s="11"/>
      <c r="BE54" s="11"/>
      <c r="BF54" s="11"/>
    </row>
    <row r="55" spans="1:58" s="75" customFormat="1" ht="25.15" customHeight="1" x14ac:dyDescent="0.2">
      <c r="A55" s="73"/>
      <c r="B55" s="362" t="s">
        <v>491</v>
      </c>
      <c r="C55" s="362"/>
      <c r="D55" s="30" t="s">
        <v>452</v>
      </c>
      <c r="E55" s="228">
        <f>IFERROR(AREApole_below*Q_leach_TIME1/TIME1,"??")</f>
        <v>0</v>
      </c>
      <c r="F55" s="19" t="s">
        <v>814</v>
      </c>
      <c r="G55" s="7" t="s">
        <v>8</v>
      </c>
      <c r="H55" s="146" t="s">
        <v>921</v>
      </c>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row>
    <row r="56" spans="1:58" s="75" customFormat="1" ht="3" customHeight="1" x14ac:dyDescent="0.2">
      <c r="A56" s="73"/>
      <c r="B56" s="329"/>
      <c r="C56" s="329"/>
      <c r="D56" s="30"/>
      <c r="E56" s="7"/>
      <c r="F56" s="19"/>
      <c r="G56" s="7"/>
      <c r="H56" s="146"/>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row>
    <row r="57" spans="1:58" s="75" customFormat="1" ht="25.15" customHeight="1" x14ac:dyDescent="0.2">
      <c r="A57" s="73"/>
      <c r="B57" s="362" t="s">
        <v>688</v>
      </c>
      <c r="C57" s="362"/>
      <c r="D57" s="30" t="s">
        <v>453</v>
      </c>
      <c r="E57" s="228">
        <f>IFERROR(AREApole_below*Q_leach_TIME2/TIME2,"??")</f>
        <v>0</v>
      </c>
      <c r="F57" s="19" t="s">
        <v>814</v>
      </c>
      <c r="G57" s="7" t="s">
        <v>8</v>
      </c>
      <c r="H57" s="146" t="s">
        <v>919</v>
      </c>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row>
    <row r="58" spans="1:58" s="75" customFormat="1" ht="3" customHeight="1" x14ac:dyDescent="0.2">
      <c r="A58" s="73"/>
      <c r="B58" s="329"/>
      <c r="C58" s="329"/>
      <c r="D58" s="30"/>
      <c r="E58" s="7"/>
      <c r="F58" s="19"/>
      <c r="G58" s="7"/>
      <c r="H58" s="146"/>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row>
    <row r="59" spans="1:58" s="75" customFormat="1" ht="25.15" customHeight="1" x14ac:dyDescent="0.2">
      <c r="A59" s="73"/>
      <c r="B59" s="362" t="s">
        <v>492</v>
      </c>
      <c r="C59" s="362"/>
      <c r="D59" s="30" t="s">
        <v>689</v>
      </c>
      <c r="E59" s="228">
        <f>IFERROR(AREApole_below*Q_leach_TIME3/TIME3,"??")</f>
        <v>0</v>
      </c>
      <c r="F59" s="19" t="s">
        <v>814</v>
      </c>
      <c r="G59" s="7" t="s">
        <v>8</v>
      </c>
      <c r="H59" s="146" t="s">
        <v>920</v>
      </c>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row>
    <row r="60" spans="1:58" x14ac:dyDescent="0.2">
      <c r="A60" s="10"/>
      <c r="B60" s="14"/>
      <c r="C60" s="14"/>
      <c r="D60" s="15"/>
      <c r="E60" s="16"/>
      <c r="F60" s="16"/>
      <c r="G60" s="16"/>
      <c r="H60" s="15"/>
      <c r="AR60" s="11"/>
      <c r="AS60" s="11"/>
      <c r="AT60" s="11"/>
      <c r="AU60" s="11"/>
      <c r="AV60" s="11"/>
      <c r="AW60" s="11"/>
      <c r="AX60" s="11"/>
      <c r="AY60" s="11"/>
      <c r="AZ60" s="11"/>
      <c r="BA60" s="11"/>
      <c r="BB60" s="11"/>
      <c r="BC60" s="11"/>
      <c r="BD60" s="11"/>
      <c r="BE60" s="11"/>
      <c r="BF60" s="11"/>
    </row>
    <row r="61" spans="1:58" s="75" customFormat="1" ht="15" x14ac:dyDescent="0.2">
      <c r="A61" s="73"/>
      <c r="B61" s="382" t="s">
        <v>597</v>
      </c>
      <c r="C61" s="382"/>
      <c r="D61" s="382"/>
      <c r="E61" s="382"/>
      <c r="F61" s="382"/>
      <c r="G61" s="382"/>
      <c r="H61" s="382"/>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row>
    <row r="62" spans="1:58" s="8" customFormat="1" ht="5.0999999999999996" customHeight="1" x14ac:dyDescent="0.2">
      <c r="A62" s="10"/>
      <c r="B62" s="128"/>
      <c r="C62" s="128"/>
      <c r="D62" s="30"/>
      <c r="E62" s="30"/>
      <c r="F62" s="19"/>
      <c r="G62" s="7"/>
      <c r="H62" s="20"/>
    </row>
    <row r="63" spans="1:58" s="8" customFormat="1" ht="25.35" customHeight="1" x14ac:dyDescent="0.2">
      <c r="A63" s="10"/>
      <c r="B63" s="362" t="s">
        <v>200</v>
      </c>
      <c r="C63" s="362"/>
      <c r="D63" s="30" t="s">
        <v>204</v>
      </c>
      <c r="E63" s="228" t="str">
        <f>IF(ISNUMBER(QleachTIME1),QleachTIME1/(Vsoil*RHOsoil),"??")</f>
        <v>??</v>
      </c>
      <c r="F63" s="19" t="s">
        <v>807</v>
      </c>
      <c r="G63" s="7" t="s">
        <v>8</v>
      </c>
      <c r="H63" s="20" t="s">
        <v>297</v>
      </c>
    </row>
    <row r="64" spans="1:58" s="8" customFormat="1" ht="3" customHeight="1" x14ac:dyDescent="0.2">
      <c r="A64" s="10"/>
      <c r="B64" s="296"/>
      <c r="C64" s="296"/>
      <c r="D64" s="30"/>
      <c r="E64" s="30"/>
      <c r="F64" s="19"/>
      <c r="G64" s="7"/>
      <c r="H64" s="20"/>
    </row>
    <row r="65" spans="1:43" s="8" customFormat="1" ht="25.35" customHeight="1" x14ac:dyDescent="0.2">
      <c r="A65" s="10"/>
      <c r="B65" s="362" t="s">
        <v>769</v>
      </c>
      <c r="C65" s="362"/>
      <c r="D65" s="30" t="s">
        <v>205</v>
      </c>
      <c r="E65" s="228" t="str">
        <f>IF(ISNUMBER(QleachTIME2),QleachTIME2/(Vsoil*RHOsoil),"??")</f>
        <v>??</v>
      </c>
      <c r="F65" s="19" t="s">
        <v>807</v>
      </c>
      <c r="G65" s="7" t="s">
        <v>8</v>
      </c>
      <c r="H65" s="20" t="s">
        <v>298</v>
      </c>
    </row>
    <row r="66" spans="1:43" s="8" customFormat="1" ht="3" customHeight="1" x14ac:dyDescent="0.2">
      <c r="A66" s="10"/>
      <c r="B66" s="128"/>
      <c r="C66" s="128"/>
      <c r="D66" s="30"/>
      <c r="E66" s="30"/>
      <c r="F66" s="19"/>
      <c r="G66" s="7"/>
      <c r="H66" s="20"/>
    </row>
    <row r="67" spans="1:43" s="8" customFormat="1" ht="25.35" customHeight="1" x14ac:dyDescent="0.2">
      <c r="A67" s="10"/>
      <c r="B67" s="362" t="s">
        <v>201</v>
      </c>
      <c r="C67" s="362"/>
      <c r="D67" s="30" t="s">
        <v>681</v>
      </c>
      <c r="E67" s="228" t="str">
        <f>IF(ISNUMBER(QleachTIME3),QleachTIME3/(Vsoil*RHOsoil),"??")</f>
        <v>??</v>
      </c>
      <c r="F67" s="19" t="s">
        <v>807</v>
      </c>
      <c r="G67" s="7" t="s">
        <v>8</v>
      </c>
      <c r="H67" s="20" t="s">
        <v>723</v>
      </c>
    </row>
    <row r="68" spans="1:43" s="8" customFormat="1" x14ac:dyDescent="0.2">
      <c r="A68" s="10"/>
      <c r="B68" s="128"/>
      <c r="C68" s="128"/>
      <c r="D68" s="30"/>
      <c r="E68" s="16"/>
      <c r="F68" s="7"/>
      <c r="G68" s="7"/>
      <c r="H68" s="20"/>
    </row>
    <row r="69" spans="1:43" s="75" customFormat="1" ht="15" x14ac:dyDescent="0.2">
      <c r="A69" s="73"/>
      <c r="B69" s="382" t="s">
        <v>559</v>
      </c>
      <c r="C69" s="382"/>
      <c r="D69" s="382"/>
      <c r="E69" s="382"/>
      <c r="F69" s="382"/>
      <c r="G69" s="382"/>
      <c r="H69" s="382"/>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row>
    <row r="70" spans="1:43" s="75" customFormat="1" x14ac:dyDescent="0.2">
      <c r="A70" s="73"/>
      <c r="B70" s="330"/>
      <c r="C70" s="29"/>
      <c r="D70" s="29"/>
      <c r="E70" s="7"/>
      <c r="F70" s="7"/>
      <c r="G70" s="7"/>
      <c r="H70" s="19"/>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row>
    <row r="71" spans="1:43" s="75" customFormat="1" ht="30" customHeight="1" x14ac:dyDescent="0.2">
      <c r="A71" s="73"/>
      <c r="B71" s="362" t="s">
        <v>562</v>
      </c>
      <c r="C71" s="362"/>
      <c r="D71" s="30" t="s">
        <v>454</v>
      </c>
      <c r="E71" s="228" t="str">
        <f>IF(AND(ISNUMBER(Esoil_leach_TIME1),ISNUMBER(k_soil)),Esoil_leach_TIME1/(Vsoil*RHOsoil*k_soil)-(Esoil_leach_TIME1/(Vsoil*RHOsoil*k_soil))*EXP(-TIME1*k_soil),"??")</f>
        <v>??</v>
      </c>
      <c r="F71" s="19" t="s">
        <v>807</v>
      </c>
      <c r="G71" s="7" t="s">
        <v>8</v>
      </c>
      <c r="H71" s="146" t="s">
        <v>586</v>
      </c>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row>
    <row r="72" spans="1:43" s="75" customFormat="1" ht="3" customHeight="1" x14ac:dyDescent="0.2">
      <c r="A72" s="73"/>
      <c r="B72" s="329"/>
      <c r="C72" s="329"/>
      <c r="D72" s="30"/>
      <c r="E72" s="30"/>
      <c r="F72" s="19"/>
      <c r="G72" s="7"/>
      <c r="H72" s="146"/>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row>
    <row r="73" spans="1:43" s="75" customFormat="1" ht="30" customHeight="1" x14ac:dyDescent="0.2">
      <c r="A73" s="73"/>
      <c r="B73" s="362" t="s">
        <v>700</v>
      </c>
      <c r="C73" s="362"/>
      <c r="D73" s="30" t="s">
        <v>455</v>
      </c>
      <c r="E73" s="228" t="str">
        <f>IF(AND(ISNUMBER(Esoil_leach_TIME2),ISNUMBER(k_soil)),Esoil_leach_TIME2/(Vsoil*RHOsoil*k_soil)-(Esoil_leach_TIME2/(Vsoil*RHOsoil*k_soil))*EXP(-TIME2*k_soil),"??")</f>
        <v>??</v>
      </c>
      <c r="F73" s="19" t="s">
        <v>807</v>
      </c>
      <c r="G73" s="7" t="s">
        <v>8</v>
      </c>
      <c r="H73" s="146" t="s">
        <v>587</v>
      </c>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row>
    <row r="74" spans="1:43" s="75" customFormat="1" ht="3" customHeight="1" x14ac:dyDescent="0.2">
      <c r="A74" s="73"/>
      <c r="B74" s="329"/>
      <c r="C74" s="329"/>
      <c r="D74" s="30"/>
      <c r="E74" s="30"/>
      <c r="F74" s="19"/>
      <c r="G74" s="7"/>
      <c r="H74" s="146"/>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row>
    <row r="75" spans="1:43" s="75" customFormat="1" ht="30" customHeight="1" x14ac:dyDescent="0.2">
      <c r="A75" s="73"/>
      <c r="B75" s="30" t="s">
        <v>563</v>
      </c>
      <c r="C75" s="30"/>
      <c r="D75" s="30" t="s">
        <v>691</v>
      </c>
      <c r="E75" s="228" t="str">
        <f>IF(AND(ISNUMBER(Esoil_leach_TIME3),ISNUMBER(k_soil)),Esoil_leach_TIME3/(Vsoil*RHOsoil*k_soil)-(Esoil_leach_TIME3/(Vsoil*RHOsoil*k_soil))*EXP(-TIME3*k_soil),"??")</f>
        <v>??</v>
      </c>
      <c r="F75" s="19" t="s">
        <v>807</v>
      </c>
      <c r="G75" s="7" t="s">
        <v>8</v>
      </c>
      <c r="H75" s="146" t="s">
        <v>701</v>
      </c>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row>
    <row r="76" spans="1:43" s="75" customFormat="1" x14ac:dyDescent="0.2">
      <c r="A76" s="73"/>
      <c r="B76" s="329"/>
      <c r="C76" s="329"/>
      <c r="D76" s="30"/>
      <c r="E76" s="30"/>
      <c r="F76" s="19"/>
      <c r="G76" s="7"/>
      <c r="H76" s="146"/>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row>
    <row r="77" spans="1:43" s="75" customFormat="1" ht="24" customHeight="1" x14ac:dyDescent="0.2">
      <c r="A77" s="73"/>
      <c r="B77" s="362" t="s">
        <v>560</v>
      </c>
      <c r="C77" s="362"/>
      <c r="D77" s="30" t="s">
        <v>456</v>
      </c>
      <c r="E77" s="228" t="str">
        <f>IFERROR(Clocalsoil_time1*RHOsoil*0.001/Ksoil_water,"??")</f>
        <v>??</v>
      </c>
      <c r="F77" s="19" t="s">
        <v>810</v>
      </c>
      <c r="G77" s="7" t="s">
        <v>8</v>
      </c>
      <c r="H77" s="146" t="s">
        <v>801</v>
      </c>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row>
    <row r="78" spans="1:43" s="75" customFormat="1" ht="3" customHeight="1" x14ac:dyDescent="0.2">
      <c r="A78" s="73"/>
      <c r="B78" s="329"/>
      <c r="C78" s="329"/>
      <c r="D78" s="30"/>
      <c r="E78" s="30"/>
      <c r="F78" s="19"/>
      <c r="G78" s="7"/>
      <c r="H78" s="146"/>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row>
    <row r="79" spans="1:43" s="75" customFormat="1" ht="27" customHeight="1" x14ac:dyDescent="0.2">
      <c r="A79" s="73"/>
      <c r="B79" s="362" t="s">
        <v>693</v>
      </c>
      <c r="C79" s="362"/>
      <c r="D79" s="30" t="s">
        <v>457</v>
      </c>
      <c r="E79" s="228" t="str">
        <f>IFERROR(Clocalsoil_time2*RHOsoil*0.001/Ksoil_water,"??")</f>
        <v>??</v>
      </c>
      <c r="F79" s="19" t="s">
        <v>810</v>
      </c>
      <c r="G79" s="7" t="s">
        <v>8</v>
      </c>
      <c r="H79" s="146" t="s">
        <v>892</v>
      </c>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row>
    <row r="80" spans="1:43" s="75" customFormat="1" ht="3" customHeight="1" x14ac:dyDescent="0.2">
      <c r="A80" s="73"/>
      <c r="B80" s="329"/>
      <c r="C80" s="329"/>
      <c r="D80" s="30"/>
      <c r="E80" s="30"/>
      <c r="F80" s="19"/>
      <c r="G80" s="7"/>
      <c r="H80" s="146"/>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row>
    <row r="81" spans="1:57" s="75" customFormat="1" ht="15" x14ac:dyDescent="0.2">
      <c r="A81" s="73"/>
      <c r="B81" s="362" t="s">
        <v>561</v>
      </c>
      <c r="C81" s="362"/>
      <c r="D81" s="30" t="s">
        <v>692</v>
      </c>
      <c r="E81" s="228" t="str">
        <f>IFERROR(Clocalsoil_time3*RHOsoil*0.001/Ksoil_water,"??")</f>
        <v>??</v>
      </c>
      <c r="F81" s="19" t="s">
        <v>810</v>
      </c>
      <c r="G81" s="7" t="s">
        <v>8</v>
      </c>
      <c r="H81" s="146" t="s">
        <v>803</v>
      </c>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row>
    <row r="82" spans="1:57" s="75" customFormat="1" x14ac:dyDescent="0.2">
      <c r="A82" s="73"/>
      <c r="B82" s="329"/>
      <c r="C82" s="329"/>
      <c r="D82" s="30"/>
      <c r="E82" s="30"/>
      <c r="F82" s="19"/>
      <c r="G82" s="7"/>
      <c r="H82" s="146"/>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row>
    <row r="83" spans="1:57" s="8" customFormat="1" x14ac:dyDescent="0.2">
      <c r="B83" s="86" t="s">
        <v>12</v>
      </c>
      <c r="F83" s="74"/>
      <c r="G83" s="74"/>
      <c r="H83" s="85"/>
    </row>
    <row r="84" spans="1:57" s="8" customFormat="1" x14ac:dyDescent="0.2">
      <c r="B84" s="73"/>
      <c r="E84" s="87"/>
      <c r="F84" s="88"/>
      <c r="G84" s="74"/>
      <c r="H84" s="85"/>
    </row>
    <row r="85" spans="1:57" s="73" customFormat="1" x14ac:dyDescent="0.2">
      <c r="B85" s="307" t="s">
        <v>818</v>
      </c>
      <c r="F85" s="94"/>
      <c r="H85" s="94"/>
    </row>
    <row r="86" spans="1:57" s="75" customFormat="1" x14ac:dyDescent="0.2">
      <c r="A86" s="73"/>
      <c r="B86" s="73"/>
      <c r="C86" s="132"/>
      <c r="D86" s="132"/>
      <c r="E86" s="73"/>
      <c r="F86" s="73"/>
      <c r="G86" s="73"/>
      <c r="H86" s="73"/>
      <c r="I86" s="73"/>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row>
    <row r="87" spans="1:57" s="73" customFormat="1" x14ac:dyDescent="0.2">
      <c r="F87" s="94"/>
      <c r="H87" s="94"/>
    </row>
    <row r="88" spans="1:57" s="73" customFormat="1" x14ac:dyDescent="0.2">
      <c r="B88" s="133"/>
      <c r="H88" s="94"/>
    </row>
    <row r="89" spans="1:57" s="73" customFormat="1" x14ac:dyDescent="0.2">
      <c r="D89" s="94"/>
      <c r="E89" s="113"/>
      <c r="F89" s="113"/>
      <c r="G89" s="113"/>
      <c r="H89" s="94"/>
    </row>
    <row r="90" spans="1:57" s="73" customFormat="1" x14ac:dyDescent="0.2">
      <c r="D90" s="94"/>
      <c r="E90" s="113"/>
      <c r="F90" s="113"/>
      <c r="G90" s="113"/>
      <c r="H90" s="94"/>
    </row>
    <row r="91" spans="1:57" s="73" customFormat="1" x14ac:dyDescent="0.2">
      <c r="B91" s="194"/>
      <c r="D91" s="116"/>
      <c r="E91" s="117"/>
      <c r="F91" s="113"/>
      <c r="G91" s="113"/>
      <c r="H91" s="94"/>
    </row>
    <row r="92" spans="1:57" s="73" customFormat="1" x14ac:dyDescent="0.2">
      <c r="B92" s="94"/>
      <c r="D92" s="94"/>
      <c r="E92" s="113"/>
      <c r="F92" s="113"/>
      <c r="G92" s="113"/>
      <c r="H92" s="94"/>
    </row>
    <row r="93" spans="1:57" s="73" customFormat="1" x14ac:dyDescent="0.2">
      <c r="B93" s="129"/>
      <c r="C93" s="129"/>
      <c r="D93" s="116"/>
      <c r="E93" s="114"/>
      <c r="F93" s="113"/>
      <c r="G93" s="113"/>
      <c r="H93" s="94"/>
    </row>
    <row r="94" spans="1:57" s="73" customFormat="1" x14ac:dyDescent="0.2">
      <c r="B94" s="94"/>
      <c r="C94" s="129"/>
      <c r="D94" s="116"/>
      <c r="E94" s="113"/>
      <c r="F94" s="113"/>
      <c r="G94" s="113"/>
      <c r="H94" s="113"/>
    </row>
    <row r="95" spans="1:57" s="73" customFormat="1" x14ac:dyDescent="0.2">
      <c r="B95" s="194"/>
      <c r="D95" s="129"/>
      <c r="E95" s="114"/>
      <c r="F95" s="113"/>
      <c r="G95" s="113"/>
    </row>
    <row r="96" spans="1:57" s="73" customFormat="1" x14ac:dyDescent="0.2">
      <c r="B96" s="194"/>
      <c r="D96" s="94"/>
      <c r="E96" s="113"/>
      <c r="F96" s="113"/>
      <c r="G96" s="113"/>
    </row>
    <row r="97" spans="2:8" s="73" customFormat="1" x14ac:dyDescent="0.2">
      <c r="D97" s="94"/>
      <c r="E97" s="114"/>
      <c r="F97" s="113"/>
      <c r="G97" s="113"/>
    </row>
    <row r="98" spans="2:8" s="73" customFormat="1" x14ac:dyDescent="0.2">
      <c r="B98" s="194"/>
      <c r="D98" s="94"/>
      <c r="E98" s="113"/>
      <c r="F98" s="113"/>
      <c r="G98" s="113"/>
    </row>
    <row r="99" spans="2:8" s="73" customFormat="1" x14ac:dyDescent="0.2">
      <c r="B99" s="94"/>
      <c r="D99" s="94"/>
      <c r="E99" s="113"/>
      <c r="F99" s="113"/>
      <c r="G99" s="113"/>
    </row>
    <row r="100" spans="2:8" s="73" customFormat="1" x14ac:dyDescent="0.2">
      <c r="B100" s="129"/>
      <c r="D100" s="94"/>
      <c r="E100" s="113"/>
      <c r="F100" s="113"/>
      <c r="G100" s="113"/>
      <c r="H100" s="116"/>
    </row>
    <row r="101" spans="2:8" s="73" customFormat="1" x14ac:dyDescent="0.2">
      <c r="B101" s="94"/>
      <c r="D101" s="94"/>
      <c r="E101" s="113"/>
      <c r="F101" s="113"/>
      <c r="G101" s="113"/>
    </row>
    <row r="102" spans="2:8" s="73" customFormat="1" x14ac:dyDescent="0.2">
      <c r="B102" s="194"/>
      <c r="D102" s="94"/>
      <c r="E102" s="113"/>
      <c r="F102" s="113"/>
      <c r="G102" s="113"/>
    </row>
    <row r="103" spans="2:8" s="73" customFormat="1" x14ac:dyDescent="0.2">
      <c r="B103" s="129"/>
      <c r="D103" s="94"/>
      <c r="E103" s="113"/>
      <c r="F103" s="113"/>
      <c r="G103" s="113"/>
    </row>
    <row r="104" spans="2:8" s="73" customFormat="1" x14ac:dyDescent="0.2">
      <c r="B104" s="129"/>
      <c r="D104" s="94"/>
      <c r="E104" s="113"/>
      <c r="F104" s="113"/>
      <c r="G104" s="113"/>
    </row>
    <row r="105" spans="2:8" s="73" customFormat="1" x14ac:dyDescent="0.2"/>
    <row r="106" spans="2:8" s="73" customFormat="1" x14ac:dyDescent="0.2">
      <c r="B106" s="133"/>
      <c r="H106" s="94"/>
    </row>
    <row r="107" spans="2:8" s="73" customFormat="1" x14ac:dyDescent="0.2">
      <c r="D107" s="94"/>
      <c r="E107" s="113"/>
      <c r="F107" s="113"/>
      <c r="G107" s="113"/>
      <c r="H107" s="94"/>
    </row>
    <row r="108" spans="2:8" s="73" customFormat="1" x14ac:dyDescent="0.2">
      <c r="D108" s="94"/>
      <c r="E108" s="113"/>
      <c r="F108" s="113"/>
      <c r="G108" s="113"/>
      <c r="H108" s="94"/>
    </row>
    <row r="109" spans="2:8" s="73" customFormat="1" x14ac:dyDescent="0.2">
      <c r="B109" s="194"/>
      <c r="D109" s="116"/>
      <c r="E109" s="117"/>
      <c r="F109" s="113"/>
      <c r="G109" s="113"/>
      <c r="H109" s="94"/>
    </row>
    <row r="110" spans="2:8" s="73" customFormat="1" x14ac:dyDescent="0.2">
      <c r="D110" s="94"/>
      <c r="E110" s="114"/>
      <c r="F110" s="113"/>
      <c r="G110" s="113"/>
    </row>
    <row r="111" spans="2:8" s="73" customFormat="1" x14ac:dyDescent="0.2">
      <c r="B111" s="194"/>
      <c r="D111" s="94"/>
      <c r="E111" s="113"/>
      <c r="F111" s="113"/>
      <c r="G111" s="113"/>
    </row>
    <row r="112" spans="2:8" s="73" customFormat="1" x14ac:dyDescent="0.2">
      <c r="B112" s="94"/>
      <c r="D112" s="94"/>
      <c r="E112" s="113"/>
      <c r="F112" s="113"/>
      <c r="G112" s="113"/>
    </row>
    <row r="113" spans="2:8" s="73" customFormat="1" x14ac:dyDescent="0.2">
      <c r="B113" s="129"/>
      <c r="D113" s="94"/>
      <c r="E113" s="113"/>
      <c r="F113" s="113"/>
      <c r="G113" s="113"/>
      <c r="H113" s="116"/>
    </row>
    <row r="114" spans="2:8" s="73" customFormat="1" x14ac:dyDescent="0.2">
      <c r="B114" s="94"/>
      <c r="D114" s="94"/>
      <c r="E114" s="113"/>
      <c r="F114" s="113"/>
      <c r="G114" s="113"/>
    </row>
    <row r="115" spans="2:8" s="73" customFormat="1" x14ac:dyDescent="0.2">
      <c r="D115" s="94"/>
    </row>
    <row r="116" spans="2:8" s="73" customFormat="1" x14ac:dyDescent="0.2">
      <c r="D116" s="94"/>
    </row>
    <row r="117" spans="2:8" s="73" customFormat="1" x14ac:dyDescent="0.2">
      <c r="D117" s="94"/>
    </row>
    <row r="118" spans="2:8" s="73" customFormat="1" x14ac:dyDescent="0.2">
      <c r="D118" s="94"/>
    </row>
    <row r="119" spans="2:8" s="73" customFormat="1" x14ac:dyDescent="0.2">
      <c r="D119" s="94"/>
    </row>
    <row r="120" spans="2:8" s="73" customFormat="1" x14ac:dyDescent="0.2">
      <c r="D120" s="94"/>
    </row>
    <row r="121" spans="2:8" s="10" customFormat="1" x14ac:dyDescent="0.2">
      <c r="D121" s="61"/>
    </row>
    <row r="122" spans="2:8" s="10" customFormat="1" x14ac:dyDescent="0.2">
      <c r="D122" s="61"/>
    </row>
    <row r="123" spans="2:8" s="10" customFormat="1" x14ac:dyDescent="0.2">
      <c r="D123" s="61"/>
    </row>
    <row r="124" spans="2:8" s="10" customFormat="1" x14ac:dyDescent="0.2">
      <c r="D124" s="61"/>
    </row>
    <row r="125" spans="2:8" s="10" customFormat="1" x14ac:dyDescent="0.2">
      <c r="D125" s="61"/>
    </row>
    <row r="126" spans="2:8" s="10" customFormat="1" x14ac:dyDescent="0.2">
      <c r="D126" s="61"/>
    </row>
    <row r="127" spans="2:8" s="10" customFormat="1" x14ac:dyDescent="0.2">
      <c r="D127" s="61"/>
    </row>
    <row r="128" spans="2:8" s="10" customFormat="1" x14ac:dyDescent="0.2">
      <c r="D128" s="61"/>
    </row>
    <row r="129" spans="4:4" s="10" customFormat="1" x14ac:dyDescent="0.2">
      <c r="D129" s="61"/>
    </row>
    <row r="130" spans="4:4" s="10" customFormat="1" x14ac:dyDescent="0.2">
      <c r="D130" s="61"/>
    </row>
    <row r="131" spans="4:4" s="10" customFormat="1" x14ac:dyDescent="0.2">
      <c r="D131" s="61"/>
    </row>
    <row r="132" spans="4:4" s="10" customFormat="1" x14ac:dyDescent="0.2">
      <c r="D132" s="61"/>
    </row>
    <row r="133" spans="4:4" s="10" customFormat="1" x14ac:dyDescent="0.2">
      <c r="D133" s="61"/>
    </row>
    <row r="134" spans="4:4" s="10" customFormat="1" x14ac:dyDescent="0.2">
      <c r="D134" s="61"/>
    </row>
    <row r="135" spans="4:4" s="10" customFormat="1" x14ac:dyDescent="0.2">
      <c r="D135" s="61"/>
    </row>
    <row r="136" spans="4:4" s="8" customFormat="1" x14ac:dyDescent="0.2">
      <c r="D136" s="85"/>
    </row>
    <row r="137" spans="4:4" s="8" customFormat="1" x14ac:dyDescent="0.2">
      <c r="D137" s="85"/>
    </row>
    <row r="138" spans="4:4" s="8" customFormat="1" x14ac:dyDescent="0.2">
      <c r="D138" s="85"/>
    </row>
    <row r="139" spans="4:4" s="8" customFormat="1" x14ac:dyDescent="0.2">
      <c r="D139" s="85"/>
    </row>
    <row r="140" spans="4:4" s="8" customFormat="1" x14ac:dyDescent="0.2">
      <c r="D140" s="85"/>
    </row>
    <row r="141" spans="4:4" s="8" customFormat="1" x14ac:dyDescent="0.2">
      <c r="D141" s="85"/>
    </row>
    <row r="142" spans="4:4" s="8" customFormat="1" x14ac:dyDescent="0.2">
      <c r="D142" s="85"/>
    </row>
    <row r="143" spans="4:4" s="8" customFormat="1" x14ac:dyDescent="0.2">
      <c r="D143" s="85"/>
    </row>
    <row r="144" spans="4:4" s="8" customFormat="1" x14ac:dyDescent="0.2">
      <c r="D144" s="85"/>
    </row>
    <row r="145" spans="4:4" s="8" customFormat="1" x14ac:dyDescent="0.2">
      <c r="D145" s="85"/>
    </row>
    <row r="146" spans="4:4" s="8" customFormat="1" x14ac:dyDescent="0.2">
      <c r="D146" s="85"/>
    </row>
    <row r="147" spans="4:4" s="8" customFormat="1" x14ac:dyDescent="0.2">
      <c r="D147" s="85"/>
    </row>
    <row r="148" spans="4:4" s="8" customFormat="1" x14ac:dyDescent="0.2">
      <c r="D148" s="85"/>
    </row>
    <row r="149" spans="4:4" s="8" customFormat="1" x14ac:dyDescent="0.2">
      <c r="D149" s="85"/>
    </row>
    <row r="150" spans="4:4" s="8" customFormat="1" x14ac:dyDescent="0.2">
      <c r="D150" s="85"/>
    </row>
    <row r="151" spans="4:4" s="8" customFormat="1" x14ac:dyDescent="0.2">
      <c r="D151" s="85"/>
    </row>
    <row r="152" spans="4:4" s="8" customFormat="1" x14ac:dyDescent="0.2">
      <c r="D152" s="85"/>
    </row>
    <row r="153" spans="4:4" s="8" customFormat="1" x14ac:dyDescent="0.2">
      <c r="D153" s="85"/>
    </row>
    <row r="154" spans="4:4" s="8" customFormat="1" x14ac:dyDescent="0.2">
      <c r="D154" s="85"/>
    </row>
    <row r="155" spans="4:4" s="8" customFormat="1" x14ac:dyDescent="0.2">
      <c r="D155" s="85"/>
    </row>
    <row r="156" spans="4:4" s="8" customFormat="1" x14ac:dyDescent="0.2">
      <c r="D156" s="85"/>
    </row>
    <row r="157" spans="4:4" s="8" customFormat="1" x14ac:dyDescent="0.2">
      <c r="D157" s="85"/>
    </row>
    <row r="158" spans="4:4" s="8" customFormat="1" x14ac:dyDescent="0.2">
      <c r="D158" s="85"/>
    </row>
    <row r="159" spans="4:4" s="8" customFormat="1" x14ac:dyDescent="0.2">
      <c r="D159" s="85"/>
    </row>
    <row r="160" spans="4:4" s="8" customFormat="1" x14ac:dyDescent="0.2">
      <c r="D160" s="85"/>
    </row>
    <row r="161" spans="4:4" s="8" customFormat="1" x14ac:dyDescent="0.2">
      <c r="D161" s="85"/>
    </row>
    <row r="162" spans="4:4" s="8" customFormat="1" x14ac:dyDescent="0.2">
      <c r="D162" s="85"/>
    </row>
    <row r="163" spans="4:4" s="8" customFormat="1" x14ac:dyDescent="0.2">
      <c r="D163" s="85"/>
    </row>
    <row r="164" spans="4:4" s="8" customFormat="1" x14ac:dyDescent="0.2">
      <c r="D164" s="85"/>
    </row>
    <row r="165" spans="4:4" s="8" customFormat="1" x14ac:dyDescent="0.2">
      <c r="D165" s="85"/>
    </row>
    <row r="166" spans="4:4" s="8" customFormat="1" x14ac:dyDescent="0.2">
      <c r="D166" s="85"/>
    </row>
  </sheetData>
  <sheetProtection algorithmName="SHA-512" hashValue="VnsSEikiRa2zKLHbaEUYd4qMVAuBpA3B1MPe2XFDavFRdCoY94drhvtST6wx93i7i1F2ykPvXiYZdNWdnnCMlg==" saltValue="qdV93SvaS7U3FfL3yK3s+g==" spinCount="100000" sheet="1" objects="1" scenarios="1" formatCells="0" formatColumns="0" formatRows="0"/>
  <mergeCells count="22">
    <mergeCell ref="B61:H61"/>
    <mergeCell ref="B55:C55"/>
    <mergeCell ref="B57:C57"/>
    <mergeCell ref="B59:C59"/>
    <mergeCell ref="B71:C71"/>
    <mergeCell ref="B8:H8"/>
    <mergeCell ref="B49:C49"/>
    <mergeCell ref="B53:C53"/>
    <mergeCell ref="B63:C63"/>
    <mergeCell ref="B67:C67"/>
    <mergeCell ref="B11:H11"/>
    <mergeCell ref="B13:H13"/>
    <mergeCell ref="B15:H15"/>
    <mergeCell ref="B51:C51"/>
    <mergeCell ref="B65:C65"/>
    <mergeCell ref="B41:C41"/>
    <mergeCell ref="B43:C43"/>
    <mergeCell ref="B73:C73"/>
    <mergeCell ref="B77:C77"/>
    <mergeCell ref="B79:C79"/>
    <mergeCell ref="B81:C81"/>
    <mergeCell ref="B69:H69"/>
  </mergeCells>
  <hyperlinks>
    <hyperlink ref="B85" location="'PT8-wrapping'!A1" display="Go to the top of the pag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88"/>
  <sheetViews>
    <sheetView zoomScale="95" zoomScaleNormal="95" workbookViewId="0"/>
  </sheetViews>
  <sheetFormatPr defaultColWidth="8.75" defaultRowHeight="12.75" x14ac:dyDescent="0.2"/>
  <cols>
    <col min="1" max="1" width="1.625" style="8" customWidth="1"/>
    <col min="2" max="2" width="30.625" style="11" customWidth="1"/>
    <col min="3" max="3" width="35.625" style="11" customWidth="1"/>
    <col min="4" max="4" width="1.625" style="11" customWidth="1"/>
    <col min="5" max="5" width="25.625" style="91" customWidth="1"/>
    <col min="6" max="8" width="10.625" style="11" customWidth="1"/>
    <col min="9" max="9" width="50.625" style="11" customWidth="1"/>
    <col min="10" max="11" width="15.625" style="8" customWidth="1"/>
    <col min="12" max="60" width="8.75" style="8"/>
    <col min="61" max="16384" width="8.75" style="11"/>
  </cols>
  <sheetData>
    <row r="1" spans="1:60" x14ac:dyDescent="0.2">
      <c r="A1" s="10"/>
      <c r="B1" s="10"/>
      <c r="C1" s="10"/>
      <c r="D1" s="10"/>
      <c r="E1" s="61"/>
      <c r="F1" s="10"/>
      <c r="G1" s="10"/>
      <c r="H1" s="10"/>
      <c r="I1" s="10"/>
      <c r="J1" s="10"/>
      <c r="K1" s="10"/>
      <c r="L1" s="10"/>
    </row>
    <row r="2" spans="1:60" ht="20.25" x14ac:dyDescent="0.2">
      <c r="A2" s="10"/>
      <c r="B2" s="64" t="s">
        <v>35</v>
      </c>
      <c r="C2" s="65"/>
      <c r="D2" s="65"/>
      <c r="E2" s="66"/>
      <c r="F2" s="10"/>
      <c r="G2" s="10"/>
      <c r="H2" s="10"/>
      <c r="I2" s="10"/>
      <c r="J2" s="10"/>
      <c r="K2" s="10"/>
      <c r="L2" s="10"/>
    </row>
    <row r="3" spans="1:60" x14ac:dyDescent="0.2">
      <c r="A3" s="10"/>
      <c r="B3" s="67"/>
      <c r="C3" s="67"/>
      <c r="D3" s="67"/>
      <c r="E3" s="68"/>
      <c r="F3" s="10"/>
      <c r="G3" s="10"/>
      <c r="H3" s="10"/>
      <c r="I3" s="10"/>
      <c r="J3" s="10"/>
      <c r="K3" s="10"/>
      <c r="L3" s="10"/>
    </row>
    <row r="4" spans="1:60" ht="15" x14ac:dyDescent="0.2">
      <c r="A4" s="10"/>
      <c r="B4" s="69"/>
      <c r="C4" s="69"/>
      <c r="D4" s="69"/>
      <c r="E4" s="70"/>
      <c r="F4" s="10"/>
      <c r="G4" s="10"/>
      <c r="H4" s="10"/>
      <c r="I4" s="10"/>
      <c r="J4" s="10"/>
      <c r="K4" s="10"/>
      <c r="L4" s="10"/>
    </row>
    <row r="5" spans="1:60" ht="18" x14ac:dyDescent="0.2">
      <c r="A5" s="10"/>
      <c r="B5" s="55" t="s">
        <v>513</v>
      </c>
      <c r="C5" s="5"/>
      <c r="D5" s="5"/>
      <c r="E5" s="21"/>
      <c r="F5" s="71"/>
      <c r="G5" s="71"/>
      <c r="H5" s="71"/>
      <c r="I5" s="72"/>
      <c r="J5" s="10"/>
      <c r="K5" s="10"/>
      <c r="L5" s="10"/>
    </row>
    <row r="6" spans="1:60" ht="18.75" thickBot="1" x14ac:dyDescent="0.25">
      <c r="A6" s="10"/>
      <c r="B6" s="281"/>
      <c r="C6" s="31"/>
      <c r="D6" s="31"/>
      <c r="E6" s="32"/>
      <c r="F6" s="84"/>
      <c r="G6" s="84"/>
      <c r="H6" s="84"/>
      <c r="I6" s="10"/>
      <c r="J6" s="10"/>
      <c r="K6" s="10"/>
      <c r="L6" s="10"/>
    </row>
    <row r="7" spans="1:60" s="75" customFormat="1" ht="14.25" x14ac:dyDescent="0.2">
      <c r="A7" s="73"/>
      <c r="B7" s="172" t="s">
        <v>494</v>
      </c>
      <c r="C7" s="173"/>
      <c r="D7" s="173"/>
      <c r="E7" s="174"/>
      <c r="F7" s="175"/>
      <c r="G7" s="175"/>
      <c r="H7" s="175"/>
      <c r="I7" s="1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0" s="75" customFormat="1" x14ac:dyDescent="0.2">
      <c r="A8" s="73"/>
      <c r="B8" s="177"/>
      <c r="C8" s="33"/>
      <c r="D8" s="33"/>
      <c r="E8" s="40"/>
      <c r="F8" s="73"/>
      <c r="G8" s="73"/>
      <c r="H8" s="73"/>
      <c r="I8" s="149"/>
      <c r="J8" s="73"/>
      <c r="K8" s="73"/>
      <c r="L8" s="73"/>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1:60" s="75" customFormat="1" ht="12.75" customHeight="1" x14ac:dyDescent="0.2">
      <c r="A9" s="73"/>
      <c r="B9" s="202" t="s">
        <v>666</v>
      </c>
      <c r="C9" s="201"/>
      <c r="D9" s="201"/>
      <c r="E9" s="201"/>
      <c r="F9" s="201"/>
      <c r="G9" s="202"/>
      <c r="H9" s="201"/>
      <c r="I9" s="282"/>
      <c r="J9" s="73"/>
      <c r="K9" s="73"/>
      <c r="L9" s="73"/>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s="75" customFormat="1" ht="15" x14ac:dyDescent="0.2">
      <c r="A10" s="73"/>
      <c r="B10" s="202" t="s">
        <v>667</v>
      </c>
      <c r="C10" s="201"/>
      <c r="D10" s="201"/>
      <c r="E10" s="201"/>
      <c r="F10" s="201"/>
      <c r="G10" s="202"/>
      <c r="H10" s="201"/>
      <c r="I10" s="282"/>
      <c r="J10" s="73"/>
      <c r="K10" s="73"/>
      <c r="L10" s="73"/>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60" s="75" customFormat="1" ht="15" thickBot="1" x14ac:dyDescent="0.25">
      <c r="A11" s="73"/>
      <c r="B11" s="189"/>
      <c r="C11" s="179"/>
      <c r="D11" s="179"/>
      <c r="E11" s="180"/>
      <c r="F11" s="181"/>
      <c r="G11" s="181"/>
      <c r="H11" s="181"/>
      <c r="I11" s="150"/>
      <c r="J11" s="73"/>
      <c r="K11" s="73"/>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60" s="75" customFormat="1" x14ac:dyDescent="0.2">
      <c r="A12" s="73"/>
      <c r="B12" s="33"/>
      <c r="C12" s="33"/>
      <c r="D12" s="33"/>
      <c r="E12" s="40"/>
      <c r="F12" s="73"/>
      <c r="G12" s="73"/>
      <c r="H12" s="73"/>
      <c r="I12" s="73"/>
      <c r="J12" s="73"/>
      <c r="K12" s="73"/>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60" s="75" customFormat="1" ht="14.25" x14ac:dyDescent="0.2">
      <c r="A13" s="73"/>
      <c r="B13" s="56" t="s">
        <v>493</v>
      </c>
      <c r="C13" s="57"/>
      <c r="D13" s="57"/>
      <c r="E13" s="58"/>
      <c r="F13" s="76"/>
      <c r="G13" s="76"/>
      <c r="H13" s="76"/>
      <c r="I13" s="76"/>
      <c r="J13" s="73"/>
      <c r="K13" s="73"/>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row>
    <row r="14" spans="1:60" s="8" customFormat="1" ht="33" customHeight="1" x14ac:dyDescent="0.2">
      <c r="B14" s="372" t="s">
        <v>301</v>
      </c>
      <c r="C14" s="372"/>
      <c r="D14" s="372"/>
      <c r="E14" s="372"/>
      <c r="F14" s="372"/>
      <c r="G14" s="372"/>
      <c r="H14" s="372"/>
      <c r="I14" s="372"/>
      <c r="J14" s="42"/>
      <c r="K14" s="42"/>
      <c r="L14" s="42"/>
    </row>
    <row r="15" spans="1:60" s="8" customFormat="1" ht="14.25" x14ac:dyDescent="0.2">
      <c r="B15" s="130"/>
      <c r="C15" s="130"/>
      <c r="D15" s="130"/>
      <c r="E15" s="130"/>
      <c r="F15" s="130"/>
      <c r="G15" s="130"/>
      <c r="H15" s="130"/>
      <c r="I15" s="130"/>
      <c r="J15" s="42"/>
      <c r="K15" s="42"/>
      <c r="L15" s="42"/>
    </row>
    <row r="16" spans="1:60" ht="15" x14ac:dyDescent="0.2">
      <c r="A16" s="10"/>
      <c r="B16" s="59" t="s">
        <v>303</v>
      </c>
      <c r="C16" s="80"/>
      <c r="D16" s="81"/>
      <c r="E16" s="81"/>
      <c r="F16" s="10"/>
      <c r="G16" s="10"/>
      <c r="H16" s="10"/>
      <c r="I16" s="10"/>
      <c r="J16" s="10"/>
      <c r="K16" s="10"/>
      <c r="BH16" s="11"/>
    </row>
    <row r="17" spans="1:65" ht="15" x14ac:dyDescent="0.2">
      <c r="A17" s="10"/>
      <c r="B17" s="73"/>
      <c r="C17" s="80"/>
      <c r="D17" s="81"/>
      <c r="E17" s="81"/>
      <c r="F17" s="10"/>
      <c r="G17" s="10"/>
      <c r="H17" s="10"/>
      <c r="I17" s="10"/>
      <c r="J17" s="10"/>
      <c r="K17" s="10"/>
      <c r="BH17" s="11"/>
    </row>
    <row r="18" spans="1:65" x14ac:dyDescent="0.2">
      <c r="A18" s="10"/>
      <c r="B18" s="82" t="s">
        <v>19</v>
      </c>
      <c r="C18" s="82"/>
      <c r="D18" s="82"/>
      <c r="E18" s="77"/>
      <c r="F18" s="77"/>
      <c r="G18" s="77"/>
      <c r="H18" s="77"/>
      <c r="I18" s="83"/>
      <c r="AS18" s="11"/>
      <c r="AT18" s="11"/>
      <c r="AU18" s="11"/>
      <c r="AV18" s="11"/>
      <c r="AW18" s="11"/>
      <c r="AX18" s="11"/>
      <c r="AY18" s="11"/>
      <c r="AZ18" s="11"/>
      <c r="BA18" s="11"/>
      <c r="BB18" s="11"/>
      <c r="BC18" s="11"/>
      <c r="BD18" s="11"/>
      <c r="BE18" s="11"/>
      <c r="BF18" s="11"/>
      <c r="BG18" s="11"/>
      <c r="BH18" s="11"/>
    </row>
    <row r="19" spans="1:65" x14ac:dyDescent="0.2">
      <c r="A19" s="10"/>
      <c r="B19" s="366" t="s">
        <v>645</v>
      </c>
      <c r="C19" s="366"/>
      <c r="D19" s="366"/>
      <c r="E19" s="366"/>
      <c r="F19" s="366"/>
      <c r="G19" s="366"/>
      <c r="H19" s="366"/>
      <c r="I19" s="366"/>
      <c r="AS19" s="11"/>
      <c r="AT19" s="11"/>
      <c r="AU19" s="11"/>
      <c r="AV19" s="11"/>
      <c r="AW19" s="11"/>
      <c r="AX19" s="11"/>
      <c r="AY19" s="11"/>
      <c r="AZ19" s="11"/>
      <c r="BA19" s="11"/>
      <c r="BB19" s="11"/>
      <c r="BC19" s="11"/>
      <c r="BD19" s="11"/>
      <c r="BE19" s="11"/>
      <c r="BF19" s="11"/>
      <c r="BG19" s="11"/>
      <c r="BH19" s="11"/>
    </row>
    <row r="20" spans="1:65" x14ac:dyDescent="0.2">
      <c r="A20" s="10"/>
      <c r="B20" s="366" t="s">
        <v>361</v>
      </c>
      <c r="C20" s="366"/>
      <c r="D20" s="366"/>
      <c r="E20" s="366"/>
      <c r="F20" s="366"/>
      <c r="G20" s="366"/>
      <c r="H20" s="366"/>
      <c r="I20" s="366"/>
      <c r="AS20" s="11"/>
      <c r="AT20" s="11"/>
      <c r="AU20" s="11"/>
      <c r="AV20" s="11"/>
      <c r="AW20" s="11"/>
      <c r="AX20" s="11"/>
      <c r="AY20" s="11"/>
      <c r="AZ20" s="11"/>
      <c r="BA20" s="11"/>
      <c r="BB20" s="11"/>
      <c r="BC20" s="11"/>
      <c r="BD20" s="11"/>
      <c r="BE20" s="11"/>
      <c r="BF20" s="11"/>
      <c r="BG20" s="11"/>
      <c r="BH20" s="11"/>
    </row>
    <row r="21" spans="1:65" x14ac:dyDescent="0.2">
      <c r="A21" s="10"/>
      <c r="B21" s="366" t="s">
        <v>648</v>
      </c>
      <c r="C21" s="366"/>
      <c r="D21" s="366"/>
      <c r="E21" s="366"/>
      <c r="F21" s="366"/>
      <c r="G21" s="366"/>
      <c r="H21" s="366"/>
      <c r="I21" s="366"/>
      <c r="AS21" s="11"/>
      <c r="AT21" s="11"/>
      <c r="AU21" s="11"/>
      <c r="AV21" s="11"/>
      <c r="AW21" s="11"/>
      <c r="AX21" s="11"/>
      <c r="AY21" s="11"/>
      <c r="AZ21" s="11"/>
      <c r="BA21" s="11"/>
      <c r="BB21" s="11"/>
      <c r="BC21" s="11"/>
      <c r="BD21" s="11"/>
      <c r="BE21" s="11"/>
      <c r="BF21" s="11"/>
      <c r="BG21" s="11"/>
      <c r="BH21" s="11"/>
    </row>
    <row r="22" spans="1:65" x14ac:dyDescent="0.2">
      <c r="A22" s="10"/>
      <c r="B22" s="366" t="s">
        <v>647</v>
      </c>
      <c r="C22" s="366"/>
      <c r="D22" s="366"/>
      <c r="E22" s="366"/>
      <c r="F22" s="366"/>
      <c r="G22" s="366"/>
      <c r="H22" s="366"/>
      <c r="I22" s="366"/>
      <c r="AS22" s="11"/>
      <c r="AT22" s="11"/>
      <c r="AU22" s="11"/>
      <c r="AV22" s="11"/>
      <c r="AW22" s="11"/>
      <c r="AX22" s="11"/>
      <c r="AY22" s="11"/>
      <c r="AZ22" s="11"/>
      <c r="BA22" s="11"/>
      <c r="BB22" s="11"/>
      <c r="BC22" s="11"/>
      <c r="BD22" s="11"/>
      <c r="BE22" s="11"/>
      <c r="BF22" s="11"/>
      <c r="BG22" s="11"/>
      <c r="BH22" s="11"/>
    </row>
    <row r="23" spans="1:65" x14ac:dyDescent="0.2">
      <c r="A23" s="10"/>
      <c r="B23" s="366" t="s">
        <v>583</v>
      </c>
      <c r="C23" s="366"/>
      <c r="D23" s="366"/>
      <c r="E23" s="366"/>
      <c r="F23" s="366"/>
      <c r="G23" s="366"/>
      <c r="H23" s="366"/>
      <c r="I23" s="366"/>
      <c r="J23" s="10"/>
      <c r="K23" s="10"/>
      <c r="L23" s="10"/>
      <c r="M23" s="10"/>
      <c r="N23" s="10"/>
      <c r="O23" s="10"/>
      <c r="P23" s="10"/>
      <c r="Q23" s="10"/>
      <c r="BI23" s="8"/>
      <c r="BJ23" s="8"/>
      <c r="BK23" s="8"/>
      <c r="BL23" s="8"/>
      <c r="BM23" s="8"/>
    </row>
    <row r="24" spans="1:65" s="8" customFormat="1" ht="3" customHeight="1" x14ac:dyDescent="0.2">
      <c r="A24" s="10"/>
      <c r="D24" s="31"/>
      <c r="E24" s="32"/>
      <c r="F24" s="84"/>
      <c r="G24" s="84"/>
      <c r="H24" s="84"/>
      <c r="I24" s="10"/>
      <c r="J24" s="10"/>
      <c r="K24" s="10"/>
      <c r="L24" s="10"/>
    </row>
    <row r="25" spans="1:65" ht="15" x14ac:dyDescent="0.2">
      <c r="A25" s="10"/>
      <c r="B25" s="4" t="s">
        <v>0</v>
      </c>
      <c r="C25" s="4"/>
      <c r="D25" s="4"/>
      <c r="E25" s="12"/>
      <c r="F25" s="12"/>
      <c r="G25" s="12"/>
      <c r="H25" s="12"/>
      <c r="I25" s="13"/>
      <c r="AS25" s="11"/>
      <c r="AT25" s="11"/>
      <c r="AU25" s="11"/>
      <c r="AV25" s="11"/>
      <c r="AW25" s="11"/>
      <c r="AX25" s="11"/>
      <c r="AY25" s="11"/>
      <c r="AZ25" s="11"/>
      <c r="BA25" s="11"/>
      <c r="BB25" s="11"/>
      <c r="BC25" s="11"/>
      <c r="BD25" s="11"/>
      <c r="BE25" s="11"/>
      <c r="BF25" s="11"/>
      <c r="BG25" s="11"/>
      <c r="BH25" s="11"/>
    </row>
    <row r="26" spans="1:65" x14ac:dyDescent="0.2">
      <c r="A26" s="10"/>
      <c r="B26" s="6"/>
      <c r="C26" s="6"/>
      <c r="D26" s="6"/>
      <c r="E26" s="6"/>
      <c r="F26" s="6"/>
      <c r="G26" s="6"/>
      <c r="H26" s="6"/>
      <c r="I26" s="22"/>
      <c r="AS26" s="11"/>
      <c r="AT26" s="11"/>
      <c r="AU26" s="11"/>
      <c r="AV26" s="11"/>
      <c r="AW26" s="11"/>
      <c r="AX26" s="11"/>
      <c r="AY26" s="11"/>
      <c r="AZ26" s="11"/>
      <c r="BA26" s="11"/>
      <c r="BB26" s="11"/>
      <c r="BC26" s="11"/>
      <c r="BD26" s="11"/>
      <c r="BE26" s="11"/>
      <c r="BF26" s="11"/>
      <c r="BG26" s="11"/>
      <c r="BH26" s="11"/>
    </row>
    <row r="27" spans="1:65" ht="15" x14ac:dyDescent="0.2">
      <c r="A27" s="10"/>
      <c r="B27" s="14" t="s">
        <v>2</v>
      </c>
      <c r="C27" s="14"/>
      <c r="D27" s="14"/>
      <c r="E27" s="15" t="s">
        <v>4</v>
      </c>
      <c r="F27" s="16" t="s">
        <v>7</v>
      </c>
      <c r="G27" s="16" t="s">
        <v>3</v>
      </c>
      <c r="H27" s="16" t="s">
        <v>11</v>
      </c>
      <c r="I27" s="15" t="s">
        <v>34</v>
      </c>
      <c r="AS27" s="11"/>
      <c r="AT27" s="11"/>
      <c r="AU27" s="11"/>
      <c r="AV27" s="11"/>
      <c r="AW27" s="11"/>
      <c r="AX27" s="11"/>
      <c r="AY27" s="11"/>
      <c r="AZ27" s="11"/>
      <c r="BA27" s="11"/>
      <c r="BB27" s="11"/>
      <c r="BC27" s="11"/>
      <c r="BD27" s="11"/>
      <c r="BE27" s="11"/>
      <c r="BF27" s="11"/>
      <c r="BG27" s="11"/>
      <c r="BH27" s="11"/>
    </row>
    <row r="28" spans="1:65" s="8" customFormat="1" x14ac:dyDescent="0.2">
      <c r="B28" s="362"/>
      <c r="C28" s="362"/>
      <c r="D28" s="34"/>
      <c r="E28" s="22"/>
      <c r="F28" s="7"/>
      <c r="G28" s="19"/>
      <c r="H28" s="7"/>
      <c r="I28" s="34"/>
    </row>
    <row r="29" spans="1:65" s="8" customFormat="1" ht="14.25" x14ac:dyDescent="0.2">
      <c r="B29" s="362" t="s">
        <v>315</v>
      </c>
      <c r="C29" s="362"/>
      <c r="D29" s="34"/>
      <c r="E29" s="22" t="s">
        <v>158</v>
      </c>
      <c r="F29" s="274"/>
      <c r="G29" s="19" t="s">
        <v>5</v>
      </c>
      <c r="H29" s="7" t="s">
        <v>6</v>
      </c>
      <c r="I29" s="34"/>
    </row>
    <row r="30" spans="1:65" s="8" customFormat="1" ht="5.0999999999999996" customHeight="1" x14ac:dyDescent="0.2">
      <c r="B30" s="261"/>
      <c r="C30" s="261"/>
      <c r="D30" s="34"/>
      <c r="E30" s="22"/>
      <c r="F30" s="7"/>
      <c r="G30" s="19"/>
      <c r="H30" s="7"/>
      <c r="I30" s="34"/>
    </row>
    <row r="31" spans="1:65" s="8" customFormat="1" ht="15" x14ac:dyDescent="0.2">
      <c r="B31" s="362" t="s">
        <v>316</v>
      </c>
      <c r="C31" s="362"/>
      <c r="D31" s="34"/>
      <c r="E31" s="22" t="s">
        <v>160</v>
      </c>
      <c r="F31" s="274"/>
      <c r="G31" s="7" t="s">
        <v>287</v>
      </c>
      <c r="H31" s="7" t="s">
        <v>6</v>
      </c>
      <c r="I31" s="92"/>
    </row>
    <row r="32" spans="1:65" s="8" customFormat="1" ht="5.0999999999999996" customHeight="1" x14ac:dyDescent="0.2">
      <c r="B32" s="261"/>
      <c r="C32" s="261"/>
      <c r="D32" s="34"/>
      <c r="E32" s="22"/>
      <c r="F32" s="22"/>
      <c r="G32" s="7"/>
      <c r="H32" s="7"/>
      <c r="I32" s="92"/>
    </row>
    <row r="33" spans="1:60" s="8" customFormat="1" ht="15" x14ac:dyDescent="0.2">
      <c r="B33" s="128" t="s">
        <v>25</v>
      </c>
      <c r="C33" s="128"/>
      <c r="D33" s="34"/>
      <c r="E33" s="22" t="s">
        <v>30</v>
      </c>
      <c r="F33" s="272">
        <v>1700</v>
      </c>
      <c r="G33" s="7" t="s">
        <v>26</v>
      </c>
      <c r="H33" s="7" t="s">
        <v>13</v>
      </c>
      <c r="I33" s="107"/>
    </row>
    <row r="34" spans="1:60" x14ac:dyDescent="0.2">
      <c r="A34" s="10"/>
      <c r="B34" s="261"/>
      <c r="C34" s="14"/>
      <c r="D34" s="14"/>
      <c r="E34" s="15"/>
      <c r="F34" s="16"/>
      <c r="G34" s="16"/>
      <c r="H34" s="16"/>
      <c r="I34" s="15"/>
      <c r="AS34" s="11"/>
      <c r="AT34" s="11"/>
      <c r="AU34" s="11"/>
      <c r="AV34" s="11"/>
      <c r="AW34" s="11"/>
      <c r="AX34" s="11"/>
      <c r="AY34" s="11"/>
      <c r="AZ34" s="11"/>
      <c r="BA34" s="11"/>
      <c r="BB34" s="11"/>
      <c r="BC34" s="11"/>
      <c r="BD34" s="11"/>
      <c r="BE34" s="11"/>
      <c r="BF34" s="11"/>
      <c r="BG34" s="11"/>
      <c r="BH34" s="11"/>
    </row>
    <row r="35" spans="1:60" x14ac:dyDescent="0.2">
      <c r="A35" s="10"/>
      <c r="B35" s="121" t="s">
        <v>333</v>
      </c>
      <c r="C35" s="14"/>
      <c r="D35" s="14"/>
      <c r="E35" s="15"/>
      <c r="F35" s="16"/>
      <c r="G35" s="16"/>
      <c r="H35" s="16"/>
      <c r="I35" s="15"/>
      <c r="AS35" s="11"/>
      <c r="AT35" s="11"/>
      <c r="AU35" s="11"/>
      <c r="AV35" s="11"/>
      <c r="AW35" s="11"/>
      <c r="AX35" s="11"/>
      <c r="AY35" s="11"/>
      <c r="AZ35" s="11"/>
      <c r="BA35" s="11"/>
      <c r="BB35" s="11"/>
      <c r="BC35" s="11"/>
      <c r="BD35" s="11"/>
      <c r="BE35" s="11"/>
      <c r="BF35" s="11"/>
      <c r="BG35" s="11"/>
      <c r="BH35" s="11"/>
    </row>
    <row r="36" spans="1:60" ht="5.0999999999999996" customHeight="1" x14ac:dyDescent="0.2">
      <c r="A36" s="10"/>
      <c r="B36" s="128"/>
      <c r="C36" s="14"/>
      <c r="D36" s="14"/>
      <c r="E36" s="15"/>
      <c r="F36" s="16"/>
      <c r="G36" s="16"/>
      <c r="H36" s="16"/>
      <c r="I36" s="15"/>
      <c r="AS36" s="11"/>
      <c r="AT36" s="11"/>
      <c r="AU36" s="11"/>
      <c r="AV36" s="11"/>
      <c r="AW36" s="11"/>
      <c r="AX36" s="11"/>
      <c r="AY36" s="11"/>
      <c r="AZ36" s="11"/>
      <c r="BA36" s="11"/>
      <c r="BB36" s="11"/>
      <c r="BC36" s="11"/>
      <c r="BD36" s="11"/>
      <c r="BE36" s="11"/>
      <c r="BF36" s="11"/>
      <c r="BG36" s="11"/>
      <c r="BH36" s="11"/>
    </row>
    <row r="37" spans="1:60" ht="15" x14ac:dyDescent="0.2">
      <c r="A37" s="10"/>
      <c r="B37" s="362" t="s">
        <v>305</v>
      </c>
      <c r="C37" s="362"/>
      <c r="D37" s="14"/>
      <c r="E37" s="30" t="s">
        <v>306</v>
      </c>
      <c r="F37" s="272">
        <v>323</v>
      </c>
      <c r="G37" s="7" t="s">
        <v>14</v>
      </c>
      <c r="H37" s="7" t="s">
        <v>13</v>
      </c>
      <c r="I37" s="15"/>
      <c r="AS37" s="11"/>
      <c r="AT37" s="11"/>
      <c r="AU37" s="11"/>
      <c r="AV37" s="11"/>
      <c r="AW37" s="11"/>
      <c r="AX37" s="11"/>
      <c r="AY37" s="11"/>
      <c r="AZ37" s="11"/>
      <c r="BA37" s="11"/>
      <c r="BB37" s="11"/>
      <c r="BC37" s="11"/>
      <c r="BD37" s="11"/>
      <c r="BE37" s="11"/>
      <c r="BF37" s="11"/>
      <c r="BG37" s="11"/>
      <c r="BH37" s="11"/>
    </row>
    <row r="38" spans="1:60" ht="5.0999999999999996" customHeight="1" x14ac:dyDescent="0.2">
      <c r="A38" s="10"/>
      <c r="B38" s="128"/>
      <c r="C38" s="128"/>
      <c r="D38" s="14"/>
      <c r="E38" s="30"/>
      <c r="F38" s="39"/>
      <c r="G38" s="7"/>
      <c r="H38" s="7"/>
      <c r="I38" s="15"/>
      <c r="AS38" s="11"/>
      <c r="AT38" s="11"/>
      <c r="AU38" s="11"/>
      <c r="AV38" s="11"/>
      <c r="AW38" s="11"/>
      <c r="AX38" s="11"/>
      <c r="AY38" s="11"/>
      <c r="AZ38" s="11"/>
      <c r="BA38" s="11"/>
      <c r="BB38" s="11"/>
      <c r="BC38" s="11"/>
      <c r="BD38" s="11"/>
      <c r="BE38" s="11"/>
      <c r="BF38" s="11"/>
      <c r="BG38" s="11"/>
      <c r="BH38" s="11"/>
    </row>
    <row r="39" spans="1:60" ht="15" x14ac:dyDescent="0.2">
      <c r="A39" s="10"/>
      <c r="B39" s="128" t="s">
        <v>307</v>
      </c>
      <c r="C39" s="128"/>
      <c r="D39" s="14"/>
      <c r="E39" s="30" t="s">
        <v>309</v>
      </c>
      <c r="F39" s="272">
        <v>17.5</v>
      </c>
      <c r="G39" s="7" t="s">
        <v>24</v>
      </c>
      <c r="H39" s="7" t="s">
        <v>13</v>
      </c>
      <c r="I39" s="15"/>
      <c r="AS39" s="11"/>
      <c r="AT39" s="11"/>
      <c r="AU39" s="11"/>
      <c r="AV39" s="11"/>
      <c r="AW39" s="11"/>
      <c r="AX39" s="11"/>
      <c r="AY39" s="11"/>
      <c r="AZ39" s="11"/>
      <c r="BA39" s="11"/>
      <c r="BB39" s="11"/>
      <c r="BC39" s="11"/>
      <c r="BD39" s="11"/>
      <c r="BE39" s="11"/>
      <c r="BF39" s="11"/>
      <c r="BG39" s="11"/>
      <c r="BH39" s="11"/>
    </row>
    <row r="40" spans="1:60" ht="5.0999999999999996" customHeight="1" x14ac:dyDescent="0.2">
      <c r="A40" s="10"/>
      <c r="B40" s="128"/>
      <c r="C40" s="14"/>
      <c r="D40" s="14"/>
      <c r="E40" s="15"/>
      <c r="F40" s="16"/>
      <c r="G40" s="7"/>
      <c r="H40" s="7"/>
      <c r="I40" s="15"/>
      <c r="AS40" s="11"/>
      <c r="AT40" s="11"/>
      <c r="AU40" s="11"/>
      <c r="AV40" s="11"/>
      <c r="AW40" s="11"/>
      <c r="AX40" s="11"/>
      <c r="AY40" s="11"/>
      <c r="AZ40" s="11"/>
      <c r="BA40" s="11"/>
      <c r="BB40" s="11"/>
      <c r="BC40" s="11"/>
      <c r="BD40" s="11"/>
      <c r="BE40" s="11"/>
      <c r="BF40" s="11"/>
      <c r="BG40" s="11"/>
      <c r="BH40" s="11"/>
    </row>
    <row r="41" spans="1:60" s="8" customFormat="1" ht="15" x14ac:dyDescent="0.2">
      <c r="B41" s="362" t="s">
        <v>308</v>
      </c>
      <c r="C41" s="362"/>
      <c r="D41" s="34"/>
      <c r="E41" s="128" t="s">
        <v>637</v>
      </c>
      <c r="F41" s="272">
        <v>33.65</v>
      </c>
      <c r="G41" s="7" t="s">
        <v>24</v>
      </c>
      <c r="H41" s="7" t="s">
        <v>13</v>
      </c>
      <c r="I41" s="34"/>
    </row>
    <row r="42" spans="1:60" s="8" customFormat="1" ht="5.0999999999999996" customHeight="1" x14ac:dyDescent="0.2">
      <c r="B42" s="362"/>
      <c r="C42" s="362"/>
      <c r="D42" s="34"/>
      <c r="E42" s="22"/>
      <c r="F42" s="7"/>
      <c r="G42" s="19"/>
      <c r="H42" s="7"/>
      <c r="I42" s="34"/>
    </row>
    <row r="43" spans="1:60" s="8" customFormat="1" ht="15" x14ac:dyDescent="0.2">
      <c r="B43" s="362" t="s">
        <v>310</v>
      </c>
      <c r="C43" s="362"/>
      <c r="D43" s="34"/>
      <c r="E43" s="22" t="s">
        <v>311</v>
      </c>
      <c r="F43" s="274"/>
      <c r="G43" s="7" t="s">
        <v>156</v>
      </c>
      <c r="H43" s="7" t="s">
        <v>6</v>
      </c>
      <c r="I43" s="92"/>
    </row>
    <row r="44" spans="1:60" s="8" customFormat="1" ht="5.0999999999999996" customHeight="1" x14ac:dyDescent="0.2">
      <c r="B44" s="128"/>
      <c r="C44" s="128"/>
      <c r="D44" s="128"/>
      <c r="E44" s="30"/>
      <c r="F44" s="7"/>
      <c r="G44" s="7"/>
      <c r="H44" s="7"/>
      <c r="I44" s="7"/>
    </row>
    <row r="45" spans="1:60" s="8" customFormat="1" ht="14.25" customHeight="1" x14ac:dyDescent="0.2">
      <c r="B45" s="362" t="s">
        <v>312</v>
      </c>
      <c r="C45" s="362"/>
      <c r="D45" s="34"/>
      <c r="E45" s="22" t="s">
        <v>313</v>
      </c>
      <c r="F45" s="274"/>
      <c r="G45" s="7" t="s">
        <v>314</v>
      </c>
      <c r="H45" s="7" t="s">
        <v>6</v>
      </c>
      <c r="I45" s="34"/>
    </row>
    <row r="46" spans="1:60" s="8" customFormat="1" ht="5.0999999999999996" customHeight="1" thickBot="1" x14ac:dyDescent="0.25">
      <c r="B46" s="128"/>
      <c r="C46" s="128"/>
      <c r="D46" s="34"/>
      <c r="E46" s="128"/>
      <c r="F46" s="39"/>
      <c r="G46" s="19"/>
      <c r="H46" s="7"/>
      <c r="I46" s="92"/>
    </row>
    <row r="47" spans="1:60" s="8" customFormat="1" ht="30" customHeight="1" thickTop="1" thickBot="1" x14ac:dyDescent="0.25">
      <c r="B47" s="128" t="s">
        <v>319</v>
      </c>
      <c r="C47" s="313" t="s">
        <v>61</v>
      </c>
      <c r="D47" s="128"/>
      <c r="E47" s="30" t="s">
        <v>320</v>
      </c>
      <c r="F47" s="23" t="str">
        <f>INDEX('Pick-lists &amp; Defaults'!C75:C81,MATCH(C47,VP_termite,0))</f>
        <v>??</v>
      </c>
      <c r="G47" s="7" t="s">
        <v>5</v>
      </c>
      <c r="H47" s="7" t="s">
        <v>22</v>
      </c>
      <c r="I47" s="22" t="s">
        <v>321</v>
      </c>
    </row>
    <row r="48" spans="1:60" s="8" customFormat="1" ht="5.0999999999999996" customHeight="1" thickTop="1" x14ac:dyDescent="0.2">
      <c r="B48" s="128"/>
      <c r="C48" s="128"/>
      <c r="D48" s="34"/>
      <c r="E48" s="22"/>
      <c r="F48" s="7"/>
      <c r="G48" s="19"/>
      <c r="H48" s="7"/>
      <c r="I48" s="34"/>
    </row>
    <row r="49" spans="1:60" s="8" customFormat="1" ht="14.25" x14ac:dyDescent="0.2">
      <c r="B49" s="128" t="s">
        <v>322</v>
      </c>
      <c r="C49" s="128"/>
      <c r="D49" s="34"/>
      <c r="E49" s="128" t="s">
        <v>638</v>
      </c>
      <c r="F49" s="273">
        <v>1</v>
      </c>
      <c r="G49" s="19" t="s">
        <v>10</v>
      </c>
      <c r="H49" s="7" t="s">
        <v>13</v>
      </c>
      <c r="I49" s="34"/>
    </row>
    <row r="50" spans="1:60" s="8" customFormat="1" x14ac:dyDescent="0.2">
      <c r="B50" s="128"/>
      <c r="C50" s="128"/>
      <c r="D50" s="34"/>
      <c r="E50" s="22"/>
      <c r="F50" s="7"/>
      <c r="G50" s="19"/>
      <c r="H50" s="7"/>
      <c r="I50" s="34"/>
    </row>
    <row r="51" spans="1:60" s="8" customFormat="1" x14ac:dyDescent="0.2">
      <c r="B51" s="121" t="s">
        <v>332</v>
      </c>
      <c r="C51" s="261"/>
      <c r="D51" s="34"/>
      <c r="E51" s="22"/>
      <c r="F51" s="7"/>
      <c r="G51" s="19"/>
      <c r="H51" s="7"/>
      <c r="I51" s="34"/>
    </row>
    <row r="52" spans="1:60" s="8" customFormat="1" ht="5.0999999999999996" customHeight="1" x14ac:dyDescent="0.2">
      <c r="B52" s="265"/>
      <c r="C52" s="261"/>
      <c r="D52" s="34"/>
      <c r="E52" s="22"/>
      <c r="F52" s="7"/>
      <c r="G52" s="19"/>
      <c r="H52" s="7"/>
      <c r="I52" s="34"/>
    </row>
    <row r="53" spans="1:60" ht="15" customHeight="1" x14ac:dyDescent="0.2">
      <c r="A53" s="10"/>
      <c r="B53" s="362" t="s">
        <v>334</v>
      </c>
      <c r="C53" s="362"/>
      <c r="D53" s="14"/>
      <c r="E53" s="30" t="s">
        <v>335</v>
      </c>
      <c r="F53" s="272">
        <v>54</v>
      </c>
      <c r="G53" s="7" t="s">
        <v>14</v>
      </c>
      <c r="H53" s="7" t="s">
        <v>13</v>
      </c>
      <c r="I53" s="15"/>
      <c r="J53" s="74"/>
      <c r="AS53" s="11"/>
      <c r="AT53" s="11"/>
      <c r="AU53" s="11"/>
      <c r="AV53" s="11"/>
      <c r="AW53" s="11"/>
      <c r="AX53" s="11"/>
      <c r="AY53" s="11"/>
      <c r="AZ53" s="11"/>
      <c r="BA53" s="11"/>
      <c r="BB53" s="11"/>
      <c r="BC53" s="11"/>
      <c r="BD53" s="11"/>
      <c r="BE53" s="11"/>
      <c r="BF53" s="11"/>
      <c r="BG53" s="11"/>
      <c r="BH53" s="11"/>
    </row>
    <row r="54" spans="1:60" ht="5.0999999999999996" customHeight="1" x14ac:dyDescent="0.2">
      <c r="A54" s="10"/>
      <c r="B54" s="261"/>
      <c r="C54" s="261"/>
      <c r="D54" s="14"/>
      <c r="E54" s="30"/>
      <c r="F54" s="39"/>
      <c r="G54" s="7"/>
      <c r="H54" s="7"/>
      <c r="I54" s="15"/>
      <c r="J54" s="74"/>
      <c r="AS54" s="11"/>
      <c r="AT54" s="11"/>
      <c r="AU54" s="11"/>
      <c r="AV54" s="11"/>
      <c r="AW54" s="11"/>
      <c r="AX54" s="11"/>
      <c r="AY54" s="11"/>
      <c r="AZ54" s="11"/>
      <c r="BA54" s="11"/>
      <c r="BB54" s="11"/>
      <c r="BC54" s="11"/>
      <c r="BD54" s="11"/>
      <c r="BE54" s="11"/>
      <c r="BF54" s="11"/>
      <c r="BG54" s="11"/>
      <c r="BH54" s="11"/>
    </row>
    <row r="55" spans="1:60" ht="39.950000000000003" customHeight="1" x14ac:dyDescent="0.2">
      <c r="A55" s="10"/>
      <c r="B55" s="362" t="s">
        <v>336</v>
      </c>
      <c r="C55" s="362"/>
      <c r="D55" s="14"/>
      <c r="E55" s="167" t="s">
        <v>640</v>
      </c>
      <c r="F55" s="274"/>
      <c r="G55" s="7" t="s">
        <v>156</v>
      </c>
      <c r="H55" s="7" t="s">
        <v>6</v>
      </c>
      <c r="I55" s="41" t="s">
        <v>664</v>
      </c>
      <c r="J55" s="268"/>
      <c r="AS55" s="11"/>
      <c r="AT55" s="11"/>
      <c r="AU55" s="11"/>
      <c r="AV55" s="11"/>
      <c r="AW55" s="11"/>
      <c r="AX55" s="11"/>
      <c r="AY55" s="11"/>
      <c r="AZ55" s="11"/>
      <c r="BA55" s="11"/>
      <c r="BB55" s="11"/>
      <c r="BC55" s="11"/>
      <c r="BD55" s="11"/>
      <c r="BE55" s="11"/>
      <c r="BF55" s="11"/>
      <c r="BG55" s="11"/>
      <c r="BH55" s="11"/>
    </row>
    <row r="56" spans="1:60" s="8" customFormat="1" ht="5.0999999999999996" customHeight="1" x14ac:dyDescent="0.2">
      <c r="B56" s="362"/>
      <c r="C56" s="362"/>
      <c r="D56" s="34"/>
      <c r="E56" s="22"/>
      <c r="F56" s="7"/>
      <c r="G56" s="19"/>
      <c r="H56" s="7"/>
      <c r="I56" s="34"/>
    </row>
    <row r="57" spans="1:60" s="8" customFormat="1" x14ac:dyDescent="0.2">
      <c r="B57" s="362" t="s">
        <v>72</v>
      </c>
      <c r="C57" s="362"/>
      <c r="D57" s="34"/>
      <c r="E57" s="261" t="s">
        <v>323</v>
      </c>
      <c r="F57" s="273">
        <v>30</v>
      </c>
      <c r="G57" s="19" t="s">
        <v>10</v>
      </c>
      <c r="H57" s="7" t="s">
        <v>13</v>
      </c>
      <c r="I57" s="34"/>
    </row>
    <row r="58" spans="1:60" s="8" customFormat="1" ht="5.0999999999999996" customHeight="1" thickBot="1" x14ac:dyDescent="0.25">
      <c r="B58" s="261"/>
      <c r="C58" s="261"/>
      <c r="D58" s="34"/>
      <c r="E58" s="22"/>
      <c r="F58" s="7"/>
      <c r="G58" s="19"/>
      <c r="H58" s="7"/>
      <c r="I58" s="34"/>
    </row>
    <row r="59" spans="1:60" s="8" customFormat="1" ht="30" customHeight="1" thickTop="1" thickBot="1" x14ac:dyDescent="0.25">
      <c r="B59" s="30" t="s">
        <v>345</v>
      </c>
      <c r="C59" s="313" t="s">
        <v>339</v>
      </c>
      <c r="D59" s="34"/>
      <c r="E59" s="22" t="s">
        <v>337</v>
      </c>
      <c r="F59" s="23" t="str">
        <f>INDEX('Pick-lists &amp; Defaults'!C85:C90,MATCH(C59,Distance,0))</f>
        <v>??</v>
      </c>
      <c r="G59" s="7" t="s">
        <v>24</v>
      </c>
      <c r="H59" s="7" t="s">
        <v>20</v>
      </c>
      <c r="I59" s="34" t="s">
        <v>346</v>
      </c>
    </row>
    <row r="60" spans="1:60" s="8" customFormat="1" ht="5.0999999999999996" customHeight="1" thickTop="1" x14ac:dyDescent="0.2">
      <c r="B60" s="261"/>
      <c r="C60" s="261"/>
      <c r="D60" s="34"/>
      <c r="E60" s="261"/>
      <c r="F60" s="39"/>
      <c r="G60" s="19"/>
      <c r="H60" s="7"/>
      <c r="I60" s="92"/>
    </row>
    <row r="61" spans="1:60" s="8" customFormat="1" ht="26.25" customHeight="1" x14ac:dyDescent="0.2">
      <c r="B61" s="362" t="s">
        <v>347</v>
      </c>
      <c r="C61" s="362"/>
      <c r="D61" s="34"/>
      <c r="E61" s="22" t="s">
        <v>348</v>
      </c>
      <c r="F61" s="272">
        <v>0.1</v>
      </c>
      <c r="G61" s="19" t="s">
        <v>5</v>
      </c>
      <c r="H61" s="7" t="s">
        <v>13</v>
      </c>
      <c r="I61" s="92"/>
    </row>
    <row r="62" spans="1:60" s="8" customFormat="1" ht="5.0999999999999996" customHeight="1" thickBot="1" x14ac:dyDescent="0.25">
      <c r="B62" s="261"/>
      <c r="C62" s="261"/>
      <c r="D62" s="261"/>
      <c r="E62" s="30"/>
      <c r="F62" s="7"/>
      <c r="G62" s="7"/>
      <c r="H62" s="7"/>
      <c r="I62" s="7"/>
    </row>
    <row r="63" spans="1:60" s="8" customFormat="1" ht="39.950000000000003" customHeight="1" thickTop="1" thickBot="1" x14ac:dyDescent="0.25">
      <c r="B63" s="30" t="s">
        <v>353</v>
      </c>
      <c r="C63" s="313" t="s">
        <v>352</v>
      </c>
      <c r="D63" s="34"/>
      <c r="E63" s="22" t="s">
        <v>354</v>
      </c>
      <c r="F63" s="23" t="str">
        <f>INDEX('Pick-lists &amp; Defaults'!C94:C98,MATCH(C63,Koc,0))</f>
        <v>??</v>
      </c>
      <c r="G63" s="19" t="s">
        <v>5</v>
      </c>
      <c r="H63" s="7" t="s">
        <v>6</v>
      </c>
      <c r="I63" s="34" t="s">
        <v>362</v>
      </c>
    </row>
    <row r="64" spans="1:60" s="8" customFormat="1" ht="13.5" thickTop="1" x14ac:dyDescent="0.2">
      <c r="B64" s="128"/>
      <c r="C64" s="128"/>
      <c r="D64" s="34"/>
      <c r="E64" s="22"/>
      <c r="F64" s="7"/>
      <c r="G64" s="19"/>
      <c r="H64" s="7"/>
      <c r="I64" s="34"/>
    </row>
    <row r="65" spans="1:60" ht="15" x14ac:dyDescent="0.2">
      <c r="A65" s="10"/>
      <c r="B65" s="4" t="s">
        <v>1</v>
      </c>
      <c r="C65" s="4"/>
      <c r="D65" s="4"/>
      <c r="E65" s="4"/>
      <c r="F65" s="12"/>
      <c r="G65" s="12"/>
      <c r="H65" s="12"/>
      <c r="I65" s="12"/>
      <c r="AT65" s="11"/>
      <c r="AU65" s="11"/>
      <c r="AV65" s="11"/>
      <c r="AW65" s="11"/>
      <c r="AX65" s="11"/>
      <c r="AY65" s="11"/>
      <c r="AZ65" s="11"/>
      <c r="BA65" s="11"/>
      <c r="BB65" s="11"/>
      <c r="BC65" s="11"/>
      <c r="BD65" s="11"/>
      <c r="BE65" s="11"/>
      <c r="BF65" s="11"/>
      <c r="BG65" s="11"/>
      <c r="BH65" s="11"/>
    </row>
    <row r="66" spans="1:60" x14ac:dyDescent="0.2">
      <c r="A66" s="10"/>
      <c r="B66" s="6"/>
      <c r="C66" s="6"/>
      <c r="D66" s="6"/>
      <c r="E66" s="6"/>
      <c r="F66" s="6"/>
      <c r="G66" s="6"/>
      <c r="H66" s="6"/>
      <c r="I66" s="6"/>
      <c r="AT66" s="11"/>
      <c r="AU66" s="11"/>
      <c r="AV66" s="11"/>
      <c r="AW66" s="11"/>
      <c r="AX66" s="11"/>
      <c r="AY66" s="11"/>
      <c r="AZ66" s="11"/>
      <c r="BA66" s="11"/>
      <c r="BB66" s="11"/>
      <c r="BC66" s="11"/>
      <c r="BD66" s="11"/>
      <c r="BE66" s="11"/>
      <c r="BF66" s="11"/>
      <c r="BG66" s="11"/>
      <c r="BH66" s="11"/>
    </row>
    <row r="67" spans="1:60" ht="15" x14ac:dyDescent="0.2">
      <c r="A67" s="10"/>
      <c r="B67" s="14" t="s">
        <v>2</v>
      </c>
      <c r="C67" s="14"/>
      <c r="D67" s="14"/>
      <c r="E67" s="15" t="s">
        <v>4</v>
      </c>
      <c r="F67" s="16" t="s">
        <v>7</v>
      </c>
      <c r="G67" s="16" t="s">
        <v>3</v>
      </c>
      <c r="H67" s="16" t="s">
        <v>11</v>
      </c>
      <c r="I67" s="15" t="s">
        <v>34</v>
      </c>
      <c r="AT67" s="11"/>
      <c r="AU67" s="11"/>
      <c r="AV67" s="11"/>
      <c r="AW67" s="11"/>
      <c r="AX67" s="11"/>
      <c r="AY67" s="11"/>
      <c r="AZ67" s="11"/>
      <c r="BA67" s="11"/>
      <c r="BB67" s="11"/>
      <c r="BC67" s="11"/>
      <c r="BD67" s="11"/>
      <c r="BE67" s="11"/>
      <c r="BF67" s="11"/>
      <c r="BG67" s="11"/>
      <c r="BH67" s="11"/>
    </row>
    <row r="68" spans="1:60" ht="15" x14ac:dyDescent="0.2">
      <c r="A68" s="10"/>
      <c r="B68" s="29"/>
      <c r="C68" s="266"/>
      <c r="D68" s="267"/>
      <c r="E68" s="267"/>
      <c r="F68" s="6"/>
      <c r="G68" s="6"/>
      <c r="H68" s="6"/>
      <c r="I68" s="6"/>
      <c r="J68" s="10"/>
      <c r="K68" s="10"/>
      <c r="BH68" s="11"/>
    </row>
    <row r="69" spans="1:60" ht="15" x14ac:dyDescent="0.2">
      <c r="A69" s="10"/>
      <c r="B69" s="121" t="s">
        <v>333</v>
      </c>
      <c r="C69" s="266"/>
      <c r="D69" s="267"/>
      <c r="E69" s="267"/>
      <c r="F69" s="6"/>
      <c r="G69" s="6"/>
      <c r="H69" s="6"/>
      <c r="I69" s="6"/>
      <c r="J69" s="10"/>
      <c r="K69" s="10"/>
      <c r="BH69" s="11"/>
    </row>
    <row r="70" spans="1:60" ht="5.0999999999999996" customHeight="1" x14ac:dyDescent="0.2">
      <c r="A70" s="10"/>
      <c r="B70" s="14"/>
      <c r="C70" s="14"/>
      <c r="D70" s="14"/>
      <c r="E70" s="15"/>
      <c r="F70" s="16"/>
      <c r="G70" s="16"/>
      <c r="H70" s="16"/>
      <c r="I70" s="15"/>
      <c r="AT70" s="11"/>
      <c r="AU70" s="11"/>
      <c r="AV70" s="11"/>
      <c r="AW70" s="11"/>
      <c r="AX70" s="11"/>
      <c r="AY70" s="11"/>
      <c r="AZ70" s="11"/>
      <c r="BA70" s="11"/>
      <c r="BB70" s="11"/>
      <c r="BC70" s="11"/>
      <c r="BD70" s="11"/>
      <c r="BE70" s="11"/>
      <c r="BF70" s="11"/>
      <c r="BG70" s="11"/>
      <c r="BH70" s="11"/>
    </row>
    <row r="71" spans="1:60" s="8" customFormat="1" ht="33" customHeight="1" x14ac:dyDescent="0.2">
      <c r="A71" s="10"/>
      <c r="B71" s="362" t="s">
        <v>324</v>
      </c>
      <c r="C71" s="362"/>
      <c r="D71" s="362"/>
      <c r="E71" s="30" t="s">
        <v>325</v>
      </c>
      <c r="F71" s="228" t="str">
        <f>IF(AND(ISNUMBER(QAapplic_product_prev),ISNUMBER(QVapplic_product_prev)),AREAtreated_prev*QAapplic_product_prev+VOLUMEtreated_interiorsoil_prev*QVapplic_product_prev,"??")</f>
        <v>??</v>
      </c>
      <c r="G71" s="19" t="s">
        <v>326</v>
      </c>
      <c r="H71" s="19" t="s">
        <v>8</v>
      </c>
      <c r="I71" s="200" t="s">
        <v>846</v>
      </c>
    </row>
    <row r="72" spans="1:60" s="8" customFormat="1" ht="5.0999999999999996" customHeight="1" x14ac:dyDescent="0.2">
      <c r="A72" s="10"/>
      <c r="B72" s="261"/>
      <c r="C72" s="261"/>
      <c r="D72" s="261"/>
      <c r="E72" s="30"/>
      <c r="F72" s="30"/>
      <c r="G72" s="19"/>
      <c r="H72" s="19"/>
      <c r="I72" s="200"/>
    </row>
    <row r="73" spans="1:60" s="161" customFormat="1" ht="30" customHeight="1" x14ac:dyDescent="0.2">
      <c r="A73" s="18"/>
      <c r="B73" s="269" t="s">
        <v>642</v>
      </c>
      <c r="C73" s="30"/>
      <c r="D73" s="30"/>
      <c r="E73" s="30" t="s">
        <v>327</v>
      </c>
      <c r="F73" s="228" t="str">
        <f>IF(AND(ISNUMBER(TOTALproduct_applic),ISNUMBER(fai_prev),ISNUMBER(RHOproduct_prev),ISNUMBER(Fapplic_prev)),TOTALproduct_applic*fai_prev*RHOproduct_prev*Fapplic_prev*1000/TIME_applic_prev,"??")</f>
        <v>??</v>
      </c>
      <c r="G73" s="19" t="s">
        <v>814</v>
      </c>
      <c r="H73" s="310" t="s">
        <v>8</v>
      </c>
      <c r="I73" s="200" t="s">
        <v>847</v>
      </c>
    </row>
    <row r="74" spans="1:60" s="8" customFormat="1" ht="5.0999999999999996" customHeight="1" x14ac:dyDescent="0.2">
      <c r="A74" s="10"/>
      <c r="B74" s="261"/>
      <c r="C74" s="128"/>
      <c r="D74" s="128"/>
      <c r="E74" s="30"/>
      <c r="F74" s="30"/>
      <c r="G74" s="19"/>
      <c r="H74" s="19"/>
      <c r="I74" s="304"/>
    </row>
    <row r="75" spans="1:60" s="8" customFormat="1" ht="30" x14ac:dyDescent="0.2">
      <c r="A75" s="10"/>
      <c r="B75" s="388" t="s">
        <v>643</v>
      </c>
      <c r="C75" s="270" t="s">
        <v>328</v>
      </c>
      <c r="D75" s="128"/>
      <c r="E75" s="30" t="s">
        <v>329</v>
      </c>
      <c r="F75" s="228" t="str">
        <f>IF(AND(ISNUMBER(TOTALproduct_applic),ISNUMBER(fai_prev),ISNUMBER(RHOproduct_prev)),TOTALproduct_applic*fai_prev*RHOproduct_prev*1000/TIME_applic_prev,"??")</f>
        <v>??</v>
      </c>
      <c r="G75" s="19" t="s">
        <v>814</v>
      </c>
      <c r="H75" s="19" t="s">
        <v>8</v>
      </c>
      <c r="I75" s="200" t="s">
        <v>848</v>
      </c>
    </row>
    <row r="76" spans="1:60" s="8" customFormat="1" ht="5.0999999999999996" customHeight="1" x14ac:dyDescent="0.2">
      <c r="A76" s="10"/>
      <c r="B76" s="388"/>
      <c r="C76" s="261"/>
      <c r="D76" s="128"/>
      <c r="E76" s="30"/>
      <c r="F76" s="30"/>
      <c r="G76" s="19"/>
      <c r="H76" s="19"/>
      <c r="I76" s="304"/>
    </row>
    <row r="77" spans="1:60" s="8" customFormat="1" ht="30" customHeight="1" x14ac:dyDescent="0.2">
      <c r="A77" s="10"/>
      <c r="B77" s="388"/>
      <c r="C77" s="30" t="s">
        <v>330</v>
      </c>
      <c r="D77" s="30"/>
      <c r="E77" s="30" t="s">
        <v>331</v>
      </c>
      <c r="F77" s="228" t="str">
        <f>IF(ISNUMBER(Qfoundation_soil),Qfoundation_soil/(RHOsoil_prev*VOLUMEtreated_soil_total_prev),"??")</f>
        <v>??</v>
      </c>
      <c r="G77" s="19" t="s">
        <v>807</v>
      </c>
      <c r="H77" s="19" t="s">
        <v>8</v>
      </c>
      <c r="I77" s="304" t="s">
        <v>849</v>
      </c>
    </row>
    <row r="78" spans="1:60" s="8" customFormat="1" x14ac:dyDescent="0.2">
      <c r="A78" s="10"/>
      <c r="B78" s="128"/>
      <c r="C78" s="128"/>
      <c r="D78" s="128"/>
      <c r="E78" s="30"/>
      <c r="F78" s="30"/>
      <c r="G78" s="19"/>
      <c r="H78" s="19"/>
      <c r="I78" s="41"/>
    </row>
    <row r="79" spans="1:60" ht="15" x14ac:dyDescent="0.2">
      <c r="A79" s="10"/>
      <c r="B79" s="121" t="s">
        <v>332</v>
      </c>
      <c r="C79" s="266"/>
      <c r="D79" s="267"/>
      <c r="E79" s="267"/>
      <c r="F79" s="6"/>
      <c r="G79" s="29"/>
      <c r="H79" s="29"/>
      <c r="I79" s="29"/>
      <c r="J79" s="10"/>
      <c r="K79" s="10"/>
      <c r="BH79" s="11"/>
    </row>
    <row r="80" spans="1:60" ht="5.0999999999999996" customHeight="1" x14ac:dyDescent="0.2">
      <c r="A80" s="10"/>
      <c r="B80" s="265"/>
      <c r="C80" s="266"/>
      <c r="D80" s="267"/>
      <c r="E80" s="267"/>
      <c r="F80" s="6"/>
      <c r="G80" s="29"/>
      <c r="H80" s="29"/>
      <c r="I80" s="29"/>
      <c r="J80" s="10"/>
      <c r="K80" s="10"/>
      <c r="BH80" s="11"/>
    </row>
    <row r="81" spans="1:60" s="8" customFormat="1" ht="18" customHeight="1" x14ac:dyDescent="0.2">
      <c r="A81" s="10"/>
      <c r="B81" s="362" t="s">
        <v>355</v>
      </c>
      <c r="C81" s="362"/>
      <c r="D81" s="362"/>
      <c r="E81" s="30" t="s">
        <v>357</v>
      </c>
      <c r="F81" s="228" t="str">
        <f>IF(ISNUMBER(QAleach_time1),AREAtreated_perimeter*QAleach_time1,"??")</f>
        <v>??</v>
      </c>
      <c r="G81" s="19" t="s">
        <v>326</v>
      </c>
      <c r="H81" s="19" t="s">
        <v>8</v>
      </c>
      <c r="I81" s="200" t="s">
        <v>850</v>
      </c>
    </row>
    <row r="82" spans="1:60" s="8" customFormat="1" ht="5.0999999999999996" customHeight="1" x14ac:dyDescent="0.2">
      <c r="A82" s="10"/>
      <c r="B82" s="261"/>
      <c r="C82" s="261"/>
      <c r="D82" s="261"/>
      <c r="E82" s="30"/>
      <c r="F82" s="30"/>
      <c r="G82" s="19"/>
      <c r="H82" s="19"/>
      <c r="I82" s="200"/>
    </row>
    <row r="83" spans="1:60" s="8" customFormat="1" ht="42" customHeight="1" x14ac:dyDescent="0.2">
      <c r="A83" s="10"/>
      <c r="B83" s="388" t="s">
        <v>641</v>
      </c>
      <c r="C83" s="270" t="s">
        <v>356</v>
      </c>
      <c r="D83" s="30"/>
      <c r="E83" s="30" t="s">
        <v>358</v>
      </c>
      <c r="F83" s="228" t="str">
        <f>IF(AND(ISNUMBER(TOTALproduct_leach_prev),ISNUMBER(fai_prev),ISNUMBER(RHOproduct_prev)),TOTALproduct_leach_prev*fai_prev*RHOproduct_prev*1000,"??")</f>
        <v>??</v>
      </c>
      <c r="G83" s="19" t="s">
        <v>794</v>
      </c>
      <c r="H83" s="19" t="s">
        <v>8</v>
      </c>
      <c r="I83" s="200" t="s">
        <v>851</v>
      </c>
    </row>
    <row r="84" spans="1:60" s="8" customFormat="1" ht="5.0999999999999996" customHeight="1" x14ac:dyDescent="0.2">
      <c r="A84" s="10"/>
      <c r="B84" s="388"/>
      <c r="C84" s="261"/>
      <c r="D84" s="261"/>
      <c r="E84" s="30"/>
      <c r="F84" s="30"/>
      <c r="G84" s="19"/>
      <c r="H84" s="19"/>
      <c r="I84" s="304"/>
    </row>
    <row r="85" spans="1:60" s="8" customFormat="1" ht="29.25" customHeight="1" x14ac:dyDescent="0.2">
      <c r="A85" s="10"/>
      <c r="B85" s="388"/>
      <c r="C85" s="30" t="s">
        <v>359</v>
      </c>
      <c r="D85" s="261"/>
      <c r="E85" s="30" t="s">
        <v>360</v>
      </c>
      <c r="F85" s="228" t="str">
        <f>IF(AND(ISNUMBER(Qadj_house_soil),ISNUMBER(F_Koc_prev),ISNUMBER(VOLUME_adj_prev_sv)),Qadj_house_soil*F_runoff_prev*F_Koc_prev/(RHOsoil_prev*VOLUME_adj_prev_sv),"??")</f>
        <v>??</v>
      </c>
      <c r="G85" s="19" t="s">
        <v>807</v>
      </c>
      <c r="H85" s="19" t="s">
        <v>8</v>
      </c>
      <c r="I85" s="200" t="s">
        <v>852</v>
      </c>
    </row>
    <row r="86" spans="1:60" s="8" customFormat="1" x14ac:dyDescent="0.2">
      <c r="A86" s="10"/>
      <c r="B86" s="261"/>
      <c r="C86" s="261"/>
      <c r="D86" s="261"/>
      <c r="E86" s="30"/>
      <c r="F86" s="30"/>
      <c r="G86" s="7"/>
      <c r="H86" s="7"/>
      <c r="I86" s="263"/>
    </row>
    <row r="87" spans="1:60" s="8" customFormat="1" x14ac:dyDescent="0.2">
      <c r="B87" s="86" t="s">
        <v>12</v>
      </c>
      <c r="G87" s="74"/>
      <c r="H87" s="74"/>
      <c r="I87" s="85"/>
    </row>
    <row r="88" spans="1:60" s="8" customFormat="1" x14ac:dyDescent="0.2">
      <c r="B88" s="73"/>
      <c r="G88" s="74"/>
      <c r="H88" s="74"/>
      <c r="I88" s="85"/>
    </row>
    <row r="89" spans="1:60" s="8" customFormat="1" x14ac:dyDescent="0.2">
      <c r="B89" s="307" t="s">
        <v>818</v>
      </c>
      <c r="G89" s="74"/>
      <c r="H89" s="74"/>
      <c r="I89" s="85"/>
    </row>
    <row r="90" spans="1:60" s="8" customFormat="1" x14ac:dyDescent="0.2">
      <c r="B90" s="86"/>
      <c r="C90" s="86"/>
      <c r="F90" s="87"/>
      <c r="G90" s="88"/>
      <c r="H90" s="74"/>
      <c r="I90" s="85"/>
    </row>
    <row r="91" spans="1:60" s="8" customFormat="1" x14ac:dyDescent="0.2">
      <c r="B91" s="86"/>
      <c r="C91" s="86"/>
      <c r="F91" s="87"/>
      <c r="G91" s="88"/>
      <c r="H91" s="74"/>
      <c r="I91" s="85"/>
    </row>
    <row r="92" spans="1:60" ht="15" x14ac:dyDescent="0.2">
      <c r="A92" s="10"/>
      <c r="B92" s="59" t="s">
        <v>304</v>
      </c>
      <c r="C92" s="80"/>
      <c r="D92" s="81"/>
      <c r="E92" s="81"/>
      <c r="F92" s="10"/>
      <c r="G92" s="10"/>
      <c r="H92" s="10"/>
      <c r="I92" s="10"/>
      <c r="J92" s="10"/>
      <c r="K92" s="10"/>
      <c r="BH92" s="11"/>
    </row>
    <row r="93" spans="1:60" ht="15" x14ac:dyDescent="0.2">
      <c r="A93" s="10"/>
      <c r="B93" s="73"/>
      <c r="C93" s="80"/>
      <c r="D93" s="81"/>
      <c r="E93" s="81"/>
      <c r="F93" s="10"/>
      <c r="G93" s="10"/>
      <c r="H93" s="10"/>
      <c r="I93" s="10"/>
      <c r="J93" s="10"/>
      <c r="K93" s="10"/>
      <c r="BH93" s="11"/>
    </row>
    <row r="94" spans="1:60" x14ac:dyDescent="0.2">
      <c r="A94" s="10"/>
      <c r="B94" s="82" t="s">
        <v>19</v>
      </c>
      <c r="C94" s="82"/>
      <c r="D94" s="82"/>
      <c r="E94" s="77"/>
      <c r="F94" s="77"/>
      <c r="G94" s="77"/>
      <c r="H94" s="77"/>
      <c r="I94" s="83"/>
      <c r="AS94" s="11"/>
      <c r="AT94" s="11"/>
      <c r="AU94" s="11"/>
      <c r="AV94" s="11"/>
      <c r="AW94" s="11"/>
      <c r="AX94" s="11"/>
      <c r="AY94" s="11"/>
      <c r="AZ94" s="11"/>
      <c r="BA94" s="11"/>
      <c r="BB94" s="11"/>
      <c r="BC94" s="11"/>
      <c r="BD94" s="11"/>
      <c r="BE94" s="11"/>
      <c r="BF94" s="11"/>
      <c r="BG94" s="11"/>
      <c r="BH94" s="11"/>
    </row>
    <row r="95" spans="1:60" x14ac:dyDescent="0.2">
      <c r="A95" s="10"/>
      <c r="B95" s="366" t="s">
        <v>645</v>
      </c>
      <c r="C95" s="366"/>
      <c r="D95" s="366"/>
      <c r="E95" s="366"/>
      <c r="F95" s="366"/>
      <c r="G95" s="366"/>
      <c r="H95" s="366"/>
      <c r="I95" s="366"/>
      <c r="AS95" s="11"/>
      <c r="AT95" s="11"/>
      <c r="AU95" s="11"/>
      <c r="AV95" s="11"/>
      <c r="AW95" s="11"/>
      <c r="AX95" s="11"/>
      <c r="AY95" s="11"/>
      <c r="AZ95" s="11"/>
      <c r="BA95" s="11"/>
      <c r="BB95" s="11"/>
      <c r="BC95" s="11"/>
      <c r="BD95" s="11"/>
      <c r="BE95" s="11"/>
      <c r="BF95" s="11"/>
      <c r="BG95" s="11"/>
      <c r="BH95" s="11"/>
    </row>
    <row r="96" spans="1:60" x14ac:dyDescent="0.2">
      <c r="A96" s="10"/>
      <c r="B96" s="366" t="s">
        <v>361</v>
      </c>
      <c r="C96" s="366"/>
      <c r="D96" s="366"/>
      <c r="E96" s="366"/>
      <c r="F96" s="366"/>
      <c r="G96" s="366"/>
      <c r="H96" s="366"/>
      <c r="I96" s="366"/>
      <c r="AS96" s="11"/>
      <c r="AT96" s="11"/>
      <c r="AU96" s="11"/>
      <c r="AV96" s="11"/>
      <c r="AW96" s="11"/>
      <c r="AX96" s="11"/>
      <c r="AY96" s="11"/>
      <c r="AZ96" s="11"/>
      <c r="BA96" s="11"/>
      <c r="BB96" s="11"/>
      <c r="BC96" s="11"/>
      <c r="BD96" s="11"/>
      <c r="BE96" s="11"/>
      <c r="BF96" s="11"/>
      <c r="BG96" s="11"/>
      <c r="BH96" s="11"/>
    </row>
    <row r="97" spans="1:65" s="8" customFormat="1" x14ac:dyDescent="0.2">
      <c r="A97" s="10"/>
      <c r="B97" s="366" t="s">
        <v>646</v>
      </c>
      <c r="C97" s="366"/>
      <c r="D97" s="366"/>
      <c r="E97" s="366"/>
      <c r="F97" s="366"/>
      <c r="G97" s="366"/>
      <c r="H97" s="366"/>
      <c r="I97" s="366"/>
    </row>
    <row r="98" spans="1:65" x14ac:dyDescent="0.2">
      <c r="A98" s="10"/>
      <c r="B98" s="366" t="s">
        <v>647</v>
      </c>
      <c r="C98" s="366"/>
      <c r="D98" s="366"/>
      <c r="E98" s="366"/>
      <c r="F98" s="366"/>
      <c r="G98" s="366"/>
      <c r="H98" s="366"/>
      <c r="I98" s="366"/>
      <c r="AS98" s="11"/>
      <c r="AT98" s="11"/>
      <c r="AU98" s="11"/>
      <c r="AV98" s="11"/>
      <c r="AW98" s="11"/>
      <c r="AX98" s="11"/>
      <c r="AY98" s="11"/>
      <c r="AZ98" s="11"/>
      <c r="BA98" s="11"/>
      <c r="BB98" s="11"/>
      <c r="BC98" s="11"/>
      <c r="BD98" s="11"/>
      <c r="BE98" s="11"/>
      <c r="BF98" s="11"/>
      <c r="BG98" s="11"/>
      <c r="BH98" s="11"/>
    </row>
    <row r="99" spans="1:65" ht="12.75" customHeight="1" x14ac:dyDescent="0.2">
      <c r="A99" s="10"/>
      <c r="B99" s="366" t="s">
        <v>583</v>
      </c>
      <c r="C99" s="366"/>
      <c r="D99" s="366"/>
      <c r="E99" s="366"/>
      <c r="F99" s="366"/>
      <c r="G99" s="366"/>
      <c r="H99" s="366"/>
      <c r="I99" s="366"/>
      <c r="J99" s="10"/>
      <c r="K99" s="10"/>
      <c r="L99" s="10"/>
      <c r="M99" s="10"/>
      <c r="N99" s="10"/>
      <c r="O99" s="10"/>
      <c r="P99" s="10"/>
      <c r="Q99" s="10"/>
      <c r="BI99" s="8"/>
      <c r="BJ99" s="8"/>
      <c r="BK99" s="8"/>
      <c r="BL99" s="8"/>
      <c r="BM99" s="8"/>
    </row>
    <row r="100" spans="1:65" s="8" customFormat="1" ht="3" customHeight="1" x14ac:dyDescent="0.2">
      <c r="A100" s="10"/>
      <c r="D100" s="31"/>
      <c r="E100" s="32"/>
      <c r="F100" s="84"/>
      <c r="G100" s="84"/>
      <c r="H100" s="84"/>
      <c r="I100" s="10"/>
      <c r="J100" s="10"/>
      <c r="K100" s="10"/>
      <c r="L100" s="10"/>
    </row>
    <row r="101" spans="1:65" ht="15" x14ac:dyDescent="0.2">
      <c r="A101" s="10"/>
      <c r="B101" s="4" t="s">
        <v>0</v>
      </c>
      <c r="C101" s="4"/>
      <c r="D101" s="4"/>
      <c r="E101" s="12"/>
      <c r="F101" s="12"/>
      <c r="G101" s="12"/>
      <c r="H101" s="12"/>
      <c r="I101" s="13"/>
      <c r="AS101" s="11"/>
      <c r="AT101" s="11"/>
      <c r="AU101" s="11"/>
      <c r="AV101" s="11"/>
      <c r="AW101" s="11"/>
      <c r="AX101" s="11"/>
      <c r="AY101" s="11"/>
      <c r="AZ101" s="11"/>
      <c r="BA101" s="11"/>
      <c r="BB101" s="11"/>
      <c r="BC101" s="11"/>
      <c r="BD101" s="11"/>
      <c r="BE101" s="11"/>
      <c r="BF101" s="11"/>
      <c r="BG101" s="11"/>
      <c r="BH101" s="11"/>
    </row>
    <row r="102" spans="1:65" x14ac:dyDescent="0.2">
      <c r="A102" s="10"/>
      <c r="B102" s="6"/>
      <c r="C102" s="6"/>
      <c r="D102" s="6"/>
      <c r="E102" s="6"/>
      <c r="F102" s="6"/>
      <c r="G102" s="6"/>
      <c r="H102" s="6"/>
      <c r="I102" s="22"/>
      <c r="AS102" s="11"/>
      <c r="AT102" s="11"/>
      <c r="AU102" s="11"/>
      <c r="AV102" s="11"/>
      <c r="AW102" s="11"/>
      <c r="AX102" s="11"/>
      <c r="AY102" s="11"/>
      <c r="AZ102" s="11"/>
      <c r="BA102" s="11"/>
      <c r="BB102" s="11"/>
      <c r="BC102" s="11"/>
      <c r="BD102" s="11"/>
      <c r="BE102" s="11"/>
      <c r="BF102" s="11"/>
      <c r="BG102" s="11"/>
      <c r="BH102" s="11"/>
    </row>
    <row r="103" spans="1:65" ht="15" x14ac:dyDescent="0.2">
      <c r="A103" s="10"/>
      <c r="B103" s="14" t="s">
        <v>2</v>
      </c>
      <c r="C103" s="14"/>
      <c r="D103" s="14"/>
      <c r="E103" s="15" t="s">
        <v>4</v>
      </c>
      <c r="F103" s="16" t="s">
        <v>7</v>
      </c>
      <c r="G103" s="16" t="s">
        <v>3</v>
      </c>
      <c r="H103" s="16" t="s">
        <v>11</v>
      </c>
      <c r="I103" s="15" t="s">
        <v>34</v>
      </c>
      <c r="AS103" s="11"/>
      <c r="AT103" s="11"/>
      <c r="AU103" s="11"/>
      <c r="AV103" s="11"/>
      <c r="AW103" s="11"/>
      <c r="AX103" s="11"/>
      <c r="AY103" s="11"/>
      <c r="AZ103" s="11"/>
      <c r="BA103" s="11"/>
      <c r="BB103" s="11"/>
      <c r="BC103" s="11"/>
      <c r="BD103" s="11"/>
      <c r="BE103" s="11"/>
      <c r="BF103" s="11"/>
      <c r="BG103" s="11"/>
      <c r="BH103" s="11"/>
    </row>
    <row r="104" spans="1:65" s="8" customFormat="1" x14ac:dyDescent="0.2">
      <c r="B104" s="362"/>
      <c r="C104" s="362"/>
      <c r="D104" s="34"/>
      <c r="E104" s="22"/>
      <c r="F104" s="7"/>
      <c r="G104" s="19"/>
      <c r="H104" s="7"/>
      <c r="I104" s="34"/>
    </row>
    <row r="105" spans="1:65" s="8" customFormat="1" ht="14.25" x14ac:dyDescent="0.2">
      <c r="B105" s="362" t="s">
        <v>315</v>
      </c>
      <c r="C105" s="362"/>
      <c r="D105" s="34"/>
      <c r="E105" s="22" t="s">
        <v>158</v>
      </c>
      <c r="F105" s="274"/>
      <c r="G105" s="19" t="s">
        <v>5</v>
      </c>
      <c r="H105" s="7" t="s">
        <v>6</v>
      </c>
      <c r="I105" s="34"/>
    </row>
    <row r="106" spans="1:65" s="8" customFormat="1" ht="5.0999999999999996" customHeight="1" x14ac:dyDescent="0.2">
      <c r="B106" s="261"/>
      <c r="C106" s="261"/>
      <c r="D106" s="34"/>
      <c r="E106" s="22"/>
      <c r="F106" s="273"/>
      <c r="G106" s="19"/>
      <c r="H106" s="7"/>
      <c r="I106" s="34"/>
    </row>
    <row r="107" spans="1:65" s="8" customFormat="1" ht="15" x14ac:dyDescent="0.2">
      <c r="B107" s="362" t="s">
        <v>316</v>
      </c>
      <c r="C107" s="362"/>
      <c r="D107" s="34"/>
      <c r="E107" s="22" t="s">
        <v>160</v>
      </c>
      <c r="F107" s="274"/>
      <c r="G107" s="7" t="s">
        <v>287</v>
      </c>
      <c r="H107" s="7" t="s">
        <v>6</v>
      </c>
      <c r="I107" s="92"/>
    </row>
    <row r="108" spans="1:65" s="8" customFormat="1" ht="5.0999999999999996" customHeight="1" x14ac:dyDescent="0.2">
      <c r="B108" s="261"/>
      <c r="C108" s="261"/>
      <c r="D108" s="34"/>
      <c r="E108" s="22"/>
      <c r="F108" s="276"/>
      <c r="G108" s="7"/>
      <c r="H108" s="7"/>
      <c r="I108" s="92"/>
    </row>
    <row r="109" spans="1:65" s="8" customFormat="1" ht="15" x14ac:dyDescent="0.2">
      <c r="B109" s="261" t="s">
        <v>25</v>
      </c>
      <c r="C109" s="261"/>
      <c r="D109" s="34"/>
      <c r="E109" s="22" t="s">
        <v>30</v>
      </c>
      <c r="F109" s="272">
        <v>1700</v>
      </c>
      <c r="G109" s="7" t="s">
        <v>26</v>
      </c>
      <c r="H109" s="7" t="s">
        <v>13</v>
      </c>
      <c r="I109" s="107"/>
    </row>
    <row r="110" spans="1:65" ht="15" x14ac:dyDescent="0.2">
      <c r="A110" s="10"/>
      <c r="B110" s="29"/>
      <c r="C110" s="266"/>
      <c r="D110" s="267"/>
      <c r="E110" s="267"/>
      <c r="F110" s="279"/>
      <c r="G110" s="6"/>
      <c r="H110" s="6"/>
      <c r="I110" s="6"/>
      <c r="J110" s="10"/>
      <c r="K110" s="10"/>
      <c r="BH110" s="11"/>
    </row>
    <row r="111" spans="1:65" ht="15" x14ac:dyDescent="0.2">
      <c r="A111" s="10"/>
      <c r="B111" s="121" t="s">
        <v>364</v>
      </c>
      <c r="C111" s="266"/>
      <c r="D111" s="267"/>
      <c r="E111" s="267"/>
      <c r="F111" s="279"/>
      <c r="G111" s="6"/>
      <c r="H111" s="6"/>
      <c r="I111" s="6"/>
      <c r="J111" s="10"/>
      <c r="K111" s="10"/>
      <c r="BH111" s="11"/>
    </row>
    <row r="112" spans="1:65" ht="5.0999999999999996" customHeight="1" x14ac:dyDescent="0.2">
      <c r="A112" s="10"/>
      <c r="B112" s="134"/>
      <c r="C112" s="14"/>
      <c r="D112" s="14"/>
      <c r="E112" s="15"/>
      <c r="F112" s="275"/>
      <c r="G112" s="16"/>
      <c r="H112" s="16"/>
      <c r="I112" s="15"/>
      <c r="AS112" s="11"/>
      <c r="AT112" s="11"/>
      <c r="AU112" s="11"/>
      <c r="AV112" s="11"/>
      <c r="AW112" s="11"/>
      <c r="AX112" s="11"/>
      <c r="AY112" s="11"/>
      <c r="AZ112" s="11"/>
      <c r="BA112" s="11"/>
      <c r="BB112" s="11"/>
      <c r="BC112" s="11"/>
      <c r="BD112" s="11"/>
      <c r="BE112" s="11"/>
      <c r="BF112" s="11"/>
      <c r="BG112" s="11"/>
      <c r="BH112" s="11"/>
    </row>
    <row r="113" spans="1:60" ht="15" x14ac:dyDescent="0.2">
      <c r="A113" s="10"/>
      <c r="B113" s="362" t="s">
        <v>365</v>
      </c>
      <c r="C113" s="362"/>
      <c r="D113" s="14"/>
      <c r="E113" s="30" t="s">
        <v>366</v>
      </c>
      <c r="F113" s="272">
        <v>65.8</v>
      </c>
      <c r="G113" s="7" t="s">
        <v>14</v>
      </c>
      <c r="H113" s="7" t="s">
        <v>13</v>
      </c>
      <c r="I113" s="15"/>
      <c r="AS113" s="11"/>
      <c r="AT113" s="11"/>
      <c r="AU113" s="11"/>
      <c r="AV113" s="11"/>
      <c r="AW113" s="11"/>
      <c r="AX113" s="11"/>
      <c r="AY113" s="11"/>
      <c r="AZ113" s="11"/>
      <c r="BA113" s="11"/>
      <c r="BB113" s="11"/>
      <c r="BC113" s="11"/>
      <c r="BD113" s="11"/>
      <c r="BE113" s="11"/>
      <c r="BF113" s="11"/>
      <c r="BG113" s="11"/>
      <c r="BH113" s="11"/>
    </row>
    <row r="114" spans="1:60" ht="5.0999999999999996" customHeight="1" x14ac:dyDescent="0.2">
      <c r="A114" s="10"/>
      <c r="B114" s="134"/>
      <c r="C114" s="134"/>
      <c r="D114" s="14"/>
      <c r="E114" s="30"/>
      <c r="F114" s="272"/>
      <c r="G114" s="7"/>
      <c r="H114" s="7"/>
      <c r="I114" s="15"/>
      <c r="AS114" s="11"/>
      <c r="AT114" s="11"/>
      <c r="AU114" s="11"/>
      <c r="AV114" s="11"/>
      <c r="AW114" s="11"/>
      <c r="AX114" s="11"/>
      <c r="AY114" s="11"/>
      <c r="AZ114" s="11"/>
      <c r="BA114" s="11"/>
      <c r="BB114" s="11"/>
      <c r="BC114" s="11"/>
      <c r="BD114" s="11"/>
      <c r="BE114" s="11"/>
      <c r="BF114" s="11"/>
      <c r="BG114" s="11"/>
      <c r="BH114" s="11"/>
    </row>
    <row r="115" spans="1:60" ht="15" x14ac:dyDescent="0.2">
      <c r="A115" s="10"/>
      <c r="B115" s="362" t="s">
        <v>367</v>
      </c>
      <c r="C115" s="362"/>
      <c r="D115" s="14"/>
      <c r="E115" s="30" t="s">
        <v>309</v>
      </c>
      <c r="F115" s="272">
        <v>8.77</v>
      </c>
      <c r="G115" s="7" t="s">
        <v>24</v>
      </c>
      <c r="H115" s="7" t="s">
        <v>13</v>
      </c>
      <c r="I115" s="15"/>
      <c r="AS115" s="11"/>
      <c r="AT115" s="11"/>
      <c r="AU115" s="11"/>
      <c r="AV115" s="11"/>
      <c r="AW115" s="11"/>
      <c r="AX115" s="11"/>
      <c r="AY115" s="11"/>
      <c r="AZ115" s="11"/>
      <c r="BA115" s="11"/>
      <c r="BB115" s="11"/>
      <c r="BC115" s="11"/>
      <c r="BD115" s="11"/>
      <c r="BE115" s="11"/>
      <c r="BF115" s="11"/>
      <c r="BG115" s="11"/>
      <c r="BH115" s="11"/>
    </row>
    <row r="116" spans="1:60" ht="5.0999999999999996" customHeight="1" x14ac:dyDescent="0.2">
      <c r="A116" s="10"/>
      <c r="B116" s="134"/>
      <c r="C116" s="14"/>
      <c r="D116" s="14"/>
      <c r="E116" s="15"/>
      <c r="F116" s="275"/>
      <c r="G116" s="7"/>
      <c r="H116" s="7"/>
      <c r="I116" s="15"/>
      <c r="AS116" s="11"/>
      <c r="AT116" s="11"/>
      <c r="AU116" s="11"/>
      <c r="AV116" s="11"/>
      <c r="AW116" s="11"/>
      <c r="AX116" s="11"/>
      <c r="AY116" s="11"/>
      <c r="AZ116" s="11"/>
      <c r="BA116" s="11"/>
      <c r="BB116" s="11"/>
      <c r="BC116" s="11"/>
      <c r="BD116" s="11"/>
      <c r="BE116" s="11"/>
      <c r="BF116" s="11"/>
      <c r="BG116" s="11"/>
      <c r="BH116" s="11"/>
    </row>
    <row r="117" spans="1:60" s="8" customFormat="1" ht="15" x14ac:dyDescent="0.2">
      <c r="B117" s="362" t="s">
        <v>308</v>
      </c>
      <c r="C117" s="362"/>
      <c r="D117" s="34"/>
      <c r="E117" s="134" t="s">
        <v>637</v>
      </c>
      <c r="F117" s="272">
        <v>12.1</v>
      </c>
      <c r="G117" s="7" t="s">
        <v>24</v>
      </c>
      <c r="H117" s="7" t="s">
        <v>13</v>
      </c>
      <c r="I117" s="34"/>
    </row>
    <row r="118" spans="1:60" s="8" customFormat="1" ht="5.0999999999999996" customHeight="1" x14ac:dyDescent="0.2">
      <c r="B118" s="362"/>
      <c r="C118" s="362"/>
      <c r="D118" s="34"/>
      <c r="E118" s="22"/>
      <c r="F118" s="273"/>
      <c r="G118" s="19"/>
      <c r="H118" s="7"/>
      <c r="I118" s="34"/>
    </row>
    <row r="119" spans="1:60" s="8" customFormat="1" ht="15" x14ac:dyDescent="0.2">
      <c r="B119" s="362" t="s">
        <v>310</v>
      </c>
      <c r="C119" s="362"/>
      <c r="D119" s="34"/>
      <c r="E119" s="22" t="s">
        <v>311</v>
      </c>
      <c r="F119" s="274"/>
      <c r="G119" s="7" t="s">
        <v>156</v>
      </c>
      <c r="H119" s="7" t="s">
        <v>6</v>
      </c>
      <c r="I119" s="92"/>
    </row>
    <row r="120" spans="1:60" s="8" customFormat="1" ht="5.0999999999999996" customHeight="1" x14ac:dyDescent="0.2">
      <c r="B120" s="134"/>
      <c r="C120" s="134"/>
      <c r="D120" s="134"/>
      <c r="E120" s="30"/>
      <c r="F120" s="273"/>
      <c r="G120" s="7"/>
      <c r="H120" s="7"/>
      <c r="I120" s="7"/>
    </row>
    <row r="121" spans="1:60" s="8" customFormat="1" ht="14.25" customHeight="1" x14ac:dyDescent="0.2">
      <c r="B121" s="362" t="s">
        <v>312</v>
      </c>
      <c r="C121" s="362"/>
      <c r="D121" s="34"/>
      <c r="E121" s="22" t="s">
        <v>313</v>
      </c>
      <c r="F121" s="274"/>
      <c r="G121" s="7" t="s">
        <v>314</v>
      </c>
      <c r="H121" s="7" t="s">
        <v>6</v>
      </c>
      <c r="I121" s="34"/>
    </row>
    <row r="122" spans="1:60" s="8" customFormat="1" ht="5.0999999999999996" customHeight="1" thickBot="1" x14ac:dyDescent="0.25">
      <c r="B122" s="362"/>
      <c r="C122" s="362"/>
      <c r="D122" s="34"/>
      <c r="E122" s="22"/>
      <c r="F122" s="7"/>
      <c r="G122" s="19"/>
      <c r="H122" s="7"/>
      <c r="I122" s="34"/>
    </row>
    <row r="123" spans="1:60" s="8" customFormat="1" ht="27" thickTop="1" thickBot="1" x14ac:dyDescent="0.25">
      <c r="B123" s="134" t="s">
        <v>319</v>
      </c>
      <c r="C123" s="313" t="s">
        <v>61</v>
      </c>
      <c r="D123" s="134"/>
      <c r="E123" s="30" t="s">
        <v>320</v>
      </c>
      <c r="F123" s="23" t="str">
        <f>INDEX('Pick-lists &amp; Defaults'!C75:C81,MATCH(C123,VP_termite,0))</f>
        <v>??</v>
      </c>
      <c r="G123" s="7" t="s">
        <v>5</v>
      </c>
      <c r="H123" s="7" t="s">
        <v>22</v>
      </c>
      <c r="I123" s="22" t="s">
        <v>321</v>
      </c>
    </row>
    <row r="124" spans="1:60" s="8" customFormat="1" ht="5.0999999999999996" customHeight="1" thickTop="1" x14ac:dyDescent="0.2">
      <c r="B124" s="134"/>
      <c r="C124" s="134"/>
      <c r="D124" s="34"/>
      <c r="E124" s="22"/>
      <c r="F124" s="7"/>
      <c r="G124" s="19"/>
      <c r="H124" s="7"/>
      <c r="I124" s="34"/>
    </row>
    <row r="125" spans="1:60" s="8" customFormat="1" ht="14.25" x14ac:dyDescent="0.2">
      <c r="B125" s="134" t="s">
        <v>322</v>
      </c>
      <c r="C125" s="134"/>
      <c r="D125" s="34"/>
      <c r="E125" s="261" t="s">
        <v>638</v>
      </c>
      <c r="F125" s="273">
        <v>1</v>
      </c>
      <c r="G125" s="19" t="s">
        <v>10</v>
      </c>
      <c r="H125" s="7" t="s">
        <v>13</v>
      </c>
      <c r="I125" s="34"/>
    </row>
    <row r="126" spans="1:60" s="8" customFormat="1" x14ac:dyDescent="0.2">
      <c r="B126" s="261"/>
      <c r="C126" s="261"/>
      <c r="D126" s="34"/>
      <c r="E126" s="261"/>
      <c r="F126" s="273"/>
      <c r="G126" s="19"/>
      <c r="H126" s="7"/>
      <c r="I126" s="34"/>
    </row>
    <row r="127" spans="1:60" x14ac:dyDescent="0.2">
      <c r="A127" s="10"/>
      <c r="B127" s="121" t="s">
        <v>639</v>
      </c>
      <c r="C127" s="14"/>
      <c r="D127" s="14"/>
      <c r="E127" s="15"/>
      <c r="F127" s="275"/>
      <c r="G127" s="16"/>
      <c r="H127" s="16"/>
      <c r="I127" s="15"/>
      <c r="AS127" s="11"/>
      <c r="AT127" s="11"/>
      <c r="AU127" s="11"/>
      <c r="AV127" s="11"/>
      <c r="AW127" s="11"/>
      <c r="AX127" s="11"/>
      <c r="AY127" s="11"/>
      <c r="AZ127" s="11"/>
      <c r="BA127" s="11"/>
      <c r="BB127" s="11"/>
      <c r="BC127" s="11"/>
      <c r="BD127" s="11"/>
      <c r="BE127" s="11"/>
      <c r="BF127" s="11"/>
      <c r="BG127" s="11"/>
      <c r="BH127" s="11"/>
    </row>
    <row r="128" spans="1:60" ht="5.0999999999999996" customHeight="1" x14ac:dyDescent="0.2">
      <c r="A128" s="10"/>
      <c r="B128" s="121"/>
      <c r="C128" s="14"/>
      <c r="D128" s="14"/>
      <c r="E128" s="15"/>
      <c r="F128" s="275"/>
      <c r="G128" s="16"/>
      <c r="H128" s="16"/>
      <c r="I128" s="15"/>
      <c r="AS128" s="11"/>
      <c r="AT128" s="11"/>
      <c r="AU128" s="11"/>
      <c r="AV128" s="11"/>
      <c r="AW128" s="11"/>
      <c r="AX128" s="11"/>
      <c r="AY128" s="11"/>
      <c r="AZ128" s="11"/>
      <c r="BA128" s="11"/>
      <c r="BB128" s="11"/>
      <c r="BC128" s="11"/>
      <c r="BD128" s="11"/>
      <c r="BE128" s="11"/>
      <c r="BF128" s="11"/>
      <c r="BG128" s="11"/>
      <c r="BH128" s="11"/>
    </row>
    <row r="129" spans="1:60" ht="15" x14ac:dyDescent="0.2">
      <c r="A129" s="10"/>
      <c r="B129" s="362" t="s">
        <v>372</v>
      </c>
      <c r="C129" s="362"/>
      <c r="D129" s="14"/>
      <c r="E129" s="30" t="s">
        <v>373</v>
      </c>
      <c r="F129" s="272">
        <v>65.8</v>
      </c>
      <c r="G129" s="7" t="s">
        <v>14</v>
      </c>
      <c r="H129" s="7" t="s">
        <v>13</v>
      </c>
      <c r="I129" s="15"/>
      <c r="AS129" s="11"/>
      <c r="AT129" s="11"/>
      <c r="AU129" s="11"/>
      <c r="AV129" s="11"/>
      <c r="AW129" s="11"/>
      <c r="AX129" s="11"/>
      <c r="AY129" s="11"/>
      <c r="AZ129" s="11"/>
      <c r="BA129" s="11"/>
      <c r="BB129" s="11"/>
      <c r="BC129" s="11"/>
      <c r="BD129" s="11"/>
      <c r="BE129" s="11"/>
      <c r="BF129" s="11"/>
      <c r="BG129" s="11"/>
      <c r="BH129" s="11"/>
    </row>
    <row r="130" spans="1:60" ht="5.0999999999999996" customHeight="1" x14ac:dyDescent="0.2">
      <c r="A130" s="10"/>
      <c r="B130" s="261"/>
      <c r="C130" s="261"/>
      <c r="D130" s="14"/>
      <c r="E130" s="30"/>
      <c r="F130" s="272"/>
      <c r="G130" s="7"/>
      <c r="H130" s="7"/>
      <c r="I130" s="15"/>
      <c r="AS130" s="11"/>
      <c r="AT130" s="11"/>
      <c r="AU130" s="11"/>
      <c r="AV130" s="11"/>
      <c r="AW130" s="11"/>
      <c r="AX130" s="11"/>
      <c r="AY130" s="11"/>
      <c r="AZ130" s="11"/>
      <c r="BA130" s="11"/>
      <c r="BB130" s="11"/>
      <c r="BC130" s="11"/>
      <c r="BD130" s="11"/>
      <c r="BE130" s="11"/>
      <c r="BF130" s="11"/>
      <c r="BG130" s="11"/>
      <c r="BH130" s="11"/>
    </row>
    <row r="131" spans="1:60" ht="15" x14ac:dyDescent="0.2">
      <c r="A131" s="10"/>
      <c r="B131" s="261" t="s">
        <v>374</v>
      </c>
      <c r="C131" s="261"/>
      <c r="D131" s="14"/>
      <c r="E131" s="30" t="s">
        <v>375</v>
      </c>
      <c r="F131" s="272">
        <v>8.77</v>
      </c>
      <c r="G131" s="7" t="s">
        <v>24</v>
      </c>
      <c r="H131" s="7" t="s">
        <v>13</v>
      </c>
      <c r="I131" s="15"/>
      <c r="AS131" s="11"/>
      <c r="AT131" s="11"/>
      <c r="AU131" s="11"/>
      <c r="AV131" s="11"/>
      <c r="AW131" s="11"/>
      <c r="AX131" s="11"/>
      <c r="AY131" s="11"/>
      <c r="AZ131" s="11"/>
      <c r="BA131" s="11"/>
      <c r="BB131" s="11"/>
      <c r="BC131" s="11"/>
      <c r="BD131" s="11"/>
      <c r="BE131" s="11"/>
      <c r="BF131" s="11"/>
      <c r="BG131" s="11"/>
      <c r="BH131" s="11"/>
    </row>
    <row r="132" spans="1:60" ht="5.0999999999999996" customHeight="1" thickBot="1" x14ac:dyDescent="0.25">
      <c r="A132" s="10"/>
      <c r="B132" s="261"/>
      <c r="C132" s="261"/>
      <c r="D132" s="14"/>
      <c r="E132" s="30"/>
      <c r="F132" s="39"/>
      <c r="G132" s="7"/>
      <c r="H132" s="7"/>
      <c r="I132" s="15"/>
      <c r="AS132" s="11"/>
      <c r="AT132" s="11"/>
      <c r="AU132" s="11"/>
      <c r="AV132" s="11"/>
      <c r="AW132" s="11"/>
      <c r="AX132" s="11"/>
      <c r="AY132" s="11"/>
      <c r="AZ132" s="11"/>
      <c r="BA132" s="11"/>
      <c r="BB132" s="11"/>
      <c r="BC132" s="11"/>
      <c r="BD132" s="11"/>
      <c r="BE132" s="11"/>
      <c r="BF132" s="11"/>
      <c r="BG132" s="11"/>
      <c r="BH132" s="11"/>
    </row>
    <row r="133" spans="1:60" s="8" customFormat="1" ht="27" thickTop="1" thickBot="1" x14ac:dyDescent="0.25">
      <c r="B133" s="30" t="s">
        <v>345</v>
      </c>
      <c r="C133" s="313" t="s">
        <v>339</v>
      </c>
      <c r="D133" s="34"/>
      <c r="E133" s="22" t="s">
        <v>380</v>
      </c>
      <c r="F133" s="23" t="str">
        <f>INDEX('Pick-lists &amp; Defaults'!D85:D90,MATCH(C133,Distance,0))</f>
        <v>??</v>
      </c>
      <c r="G133" s="7" t="s">
        <v>24</v>
      </c>
      <c r="H133" s="7" t="s">
        <v>20</v>
      </c>
      <c r="I133" s="34" t="s">
        <v>346</v>
      </c>
    </row>
    <row r="134" spans="1:60" ht="5.0999999999999996" customHeight="1" thickTop="1" x14ac:dyDescent="0.2">
      <c r="A134" s="10"/>
      <c r="B134" s="261"/>
      <c r="C134" s="261"/>
      <c r="D134" s="14"/>
      <c r="E134" s="30"/>
      <c r="F134" s="39"/>
      <c r="G134" s="7"/>
      <c r="H134" s="7"/>
      <c r="I134" s="15"/>
      <c r="AS134" s="11"/>
      <c r="AT134" s="11"/>
      <c r="AU134" s="11"/>
      <c r="AV134" s="11"/>
      <c r="AW134" s="11"/>
      <c r="AX134" s="11"/>
      <c r="AY134" s="11"/>
      <c r="AZ134" s="11"/>
      <c r="BA134" s="11"/>
      <c r="BB134" s="11"/>
      <c r="BC134" s="11"/>
      <c r="BD134" s="11"/>
      <c r="BE134" s="11"/>
      <c r="BF134" s="11"/>
      <c r="BG134" s="11"/>
      <c r="BH134" s="11"/>
    </row>
    <row r="135" spans="1:60" ht="24.95" customHeight="1" x14ac:dyDescent="0.2">
      <c r="A135" s="10"/>
      <c r="B135" s="363" t="s">
        <v>644</v>
      </c>
      <c r="C135" s="363"/>
      <c r="D135" s="14"/>
      <c r="E135" s="167" t="s">
        <v>663</v>
      </c>
      <c r="F135" s="274"/>
      <c r="G135" s="39" t="s">
        <v>662</v>
      </c>
      <c r="H135" s="7" t="s">
        <v>6</v>
      </c>
      <c r="I135" s="41" t="s">
        <v>665</v>
      </c>
      <c r="AS135" s="11"/>
      <c r="AT135" s="11"/>
      <c r="AU135" s="11"/>
      <c r="AV135" s="11"/>
      <c r="AW135" s="11"/>
      <c r="AX135" s="11"/>
      <c r="AY135" s="11"/>
      <c r="AZ135" s="11"/>
      <c r="BA135" s="11"/>
      <c r="BB135" s="11"/>
      <c r="BC135" s="11"/>
      <c r="BD135" s="11"/>
      <c r="BE135" s="11"/>
      <c r="BF135" s="11"/>
      <c r="BG135" s="11"/>
      <c r="BH135" s="11"/>
    </row>
    <row r="136" spans="1:60" ht="24.95" customHeight="1" x14ac:dyDescent="0.2">
      <c r="A136" s="10"/>
      <c r="B136" s="363"/>
      <c r="C136" s="363"/>
      <c r="D136" s="14"/>
      <c r="E136" s="167" t="s">
        <v>660</v>
      </c>
      <c r="F136" s="274"/>
      <c r="G136" s="39" t="s">
        <v>661</v>
      </c>
      <c r="H136" s="7" t="s">
        <v>6</v>
      </c>
      <c r="I136" s="41" t="s">
        <v>665</v>
      </c>
      <c r="AS136" s="11"/>
      <c r="AT136" s="11"/>
      <c r="AU136" s="11"/>
      <c r="AV136" s="11"/>
      <c r="AW136" s="11"/>
      <c r="AX136" s="11"/>
      <c r="AY136" s="11"/>
      <c r="AZ136" s="11"/>
      <c r="BA136" s="11"/>
      <c r="BB136" s="11"/>
      <c r="BC136" s="11"/>
      <c r="BD136" s="11"/>
      <c r="BE136" s="11"/>
      <c r="BF136" s="11"/>
      <c r="BG136" s="11"/>
      <c r="BH136" s="11"/>
    </row>
    <row r="137" spans="1:60" ht="5.0999999999999996" customHeight="1" x14ac:dyDescent="0.2">
      <c r="A137" s="10"/>
      <c r="B137" s="261"/>
      <c r="C137" s="14"/>
      <c r="D137" s="14"/>
      <c r="E137" s="15"/>
      <c r="F137" s="275"/>
      <c r="G137" s="7"/>
      <c r="H137" s="7"/>
      <c r="I137" s="15"/>
      <c r="AS137" s="11"/>
      <c r="AT137" s="11"/>
      <c r="AU137" s="11"/>
      <c r="AV137" s="11"/>
      <c r="AW137" s="11"/>
      <c r="AX137" s="11"/>
      <c r="AY137" s="11"/>
      <c r="AZ137" s="11"/>
      <c r="BA137" s="11"/>
      <c r="BB137" s="11"/>
      <c r="BC137" s="11"/>
      <c r="BD137" s="11"/>
      <c r="BE137" s="11"/>
      <c r="BF137" s="11"/>
      <c r="BG137" s="11"/>
      <c r="BH137" s="11"/>
    </row>
    <row r="138" spans="1:60" s="8" customFormat="1" x14ac:dyDescent="0.2">
      <c r="B138" s="362" t="s">
        <v>72</v>
      </c>
      <c r="C138" s="362"/>
      <c r="D138" s="34"/>
      <c r="E138" s="261" t="s">
        <v>323</v>
      </c>
      <c r="F138" s="273">
        <v>30</v>
      </c>
      <c r="G138" s="19" t="s">
        <v>10</v>
      </c>
      <c r="H138" s="7" t="s">
        <v>13</v>
      </c>
      <c r="I138" s="34"/>
    </row>
    <row r="139" spans="1:60" s="8" customFormat="1" ht="5.0999999999999996" customHeight="1" x14ac:dyDescent="0.2">
      <c r="B139" s="261"/>
      <c r="C139" s="261"/>
      <c r="D139" s="34"/>
      <c r="E139" s="22"/>
      <c r="F139" s="273"/>
      <c r="G139" s="19"/>
      <c r="H139" s="7"/>
      <c r="I139" s="34"/>
    </row>
    <row r="140" spans="1:60" s="8" customFormat="1" ht="26.25" customHeight="1" x14ac:dyDescent="0.2">
      <c r="B140" s="362" t="s">
        <v>347</v>
      </c>
      <c r="C140" s="362"/>
      <c r="D140" s="34"/>
      <c r="E140" s="22" t="s">
        <v>348</v>
      </c>
      <c r="F140" s="272">
        <v>0.1</v>
      </c>
      <c r="G140" s="19" t="s">
        <v>5</v>
      </c>
      <c r="H140" s="7" t="s">
        <v>13</v>
      </c>
      <c r="I140" s="92"/>
    </row>
    <row r="141" spans="1:60" s="8" customFormat="1" ht="5.0999999999999996" customHeight="1" thickBot="1" x14ac:dyDescent="0.25">
      <c r="B141" s="261"/>
      <c r="C141" s="261"/>
      <c r="D141" s="261"/>
      <c r="E141" s="30"/>
      <c r="F141" s="7"/>
      <c r="G141" s="7"/>
      <c r="H141" s="7"/>
      <c r="I141" s="7"/>
    </row>
    <row r="142" spans="1:60" s="8" customFormat="1" ht="39.950000000000003" customHeight="1" thickTop="1" thickBot="1" x14ac:dyDescent="0.25">
      <c r="B142" s="30" t="s">
        <v>353</v>
      </c>
      <c r="C142" s="313" t="s">
        <v>352</v>
      </c>
      <c r="D142" s="34"/>
      <c r="E142" s="22" t="s">
        <v>354</v>
      </c>
      <c r="F142" s="23" t="str">
        <f>INDEX('Pick-lists &amp; Defaults'!C94:C98,MATCH(C142,Koc,0))</f>
        <v>??</v>
      </c>
      <c r="G142" s="7" t="s">
        <v>5</v>
      </c>
      <c r="H142" s="7" t="s">
        <v>6</v>
      </c>
      <c r="I142" s="34" t="s">
        <v>362</v>
      </c>
    </row>
    <row r="143" spans="1:60" s="8" customFormat="1" ht="13.5" thickTop="1" x14ac:dyDescent="0.2">
      <c r="B143" s="362"/>
      <c r="C143" s="362"/>
      <c r="D143" s="34"/>
      <c r="E143" s="22"/>
      <c r="F143" s="7"/>
      <c r="G143" s="19"/>
      <c r="H143" s="7"/>
      <c r="I143" s="34"/>
    </row>
    <row r="144" spans="1:60" ht="15" x14ac:dyDescent="0.2">
      <c r="A144" s="10"/>
      <c r="B144" s="4" t="s">
        <v>1</v>
      </c>
      <c r="C144" s="4"/>
      <c r="D144" s="4"/>
      <c r="E144" s="4"/>
      <c r="F144" s="12"/>
      <c r="G144" s="12"/>
      <c r="H144" s="12"/>
      <c r="I144" s="12"/>
      <c r="AT144" s="11"/>
      <c r="AU144" s="11"/>
      <c r="AV144" s="11"/>
      <c r="AW144" s="11"/>
      <c r="AX144" s="11"/>
      <c r="AY144" s="11"/>
      <c r="AZ144" s="11"/>
      <c r="BA144" s="11"/>
      <c r="BB144" s="11"/>
      <c r="BC144" s="11"/>
      <c r="BD144" s="11"/>
      <c r="BE144" s="11"/>
      <c r="BF144" s="11"/>
      <c r="BG144" s="11"/>
      <c r="BH144" s="11"/>
    </row>
    <row r="145" spans="1:60" x14ac:dyDescent="0.2">
      <c r="A145" s="10"/>
      <c r="B145" s="6"/>
      <c r="C145" s="6"/>
      <c r="D145" s="6"/>
      <c r="E145" s="6"/>
      <c r="F145" s="6"/>
      <c r="G145" s="6"/>
      <c r="H145" s="6"/>
      <c r="I145" s="6"/>
      <c r="AT145" s="11"/>
      <c r="AU145" s="11"/>
      <c r="AV145" s="11"/>
      <c r="AW145" s="11"/>
      <c r="AX145" s="11"/>
      <c r="AY145" s="11"/>
      <c r="AZ145" s="11"/>
      <c r="BA145" s="11"/>
      <c r="BB145" s="11"/>
      <c r="BC145" s="11"/>
      <c r="BD145" s="11"/>
      <c r="BE145" s="11"/>
      <c r="BF145" s="11"/>
      <c r="BG145" s="11"/>
      <c r="BH145" s="11"/>
    </row>
    <row r="146" spans="1:60" ht="15" x14ac:dyDescent="0.2">
      <c r="A146" s="10"/>
      <c r="B146" s="14" t="s">
        <v>2</v>
      </c>
      <c r="C146" s="14"/>
      <c r="D146" s="14"/>
      <c r="E146" s="15" t="s">
        <v>4</v>
      </c>
      <c r="F146" s="16" t="s">
        <v>7</v>
      </c>
      <c r="G146" s="16" t="s">
        <v>3</v>
      </c>
      <c r="H146" s="16" t="s">
        <v>11</v>
      </c>
      <c r="I146" s="15" t="s">
        <v>34</v>
      </c>
      <c r="AT146" s="11"/>
      <c r="AU146" s="11"/>
      <c r="AV146" s="11"/>
      <c r="AW146" s="11"/>
      <c r="AX146" s="11"/>
      <c r="AY146" s="11"/>
      <c r="AZ146" s="11"/>
      <c r="BA146" s="11"/>
      <c r="BB146" s="11"/>
      <c r="BC146" s="11"/>
      <c r="BD146" s="11"/>
      <c r="BE146" s="11"/>
      <c r="BF146" s="11"/>
      <c r="BG146" s="11"/>
      <c r="BH146" s="11"/>
    </row>
    <row r="147" spans="1:60" x14ac:dyDescent="0.2">
      <c r="A147" s="10"/>
      <c r="B147" s="14"/>
      <c r="C147" s="14"/>
      <c r="D147" s="14"/>
      <c r="E147" s="15"/>
      <c r="F147" s="16"/>
      <c r="G147" s="16"/>
      <c r="H147" s="16"/>
      <c r="I147" s="15"/>
      <c r="AT147" s="11"/>
      <c r="AU147" s="11"/>
      <c r="AV147" s="11"/>
      <c r="AW147" s="11"/>
      <c r="AX147" s="11"/>
      <c r="AY147" s="11"/>
      <c r="AZ147" s="11"/>
      <c r="BA147" s="11"/>
      <c r="BB147" s="11"/>
      <c r="BC147" s="11"/>
      <c r="BD147" s="11"/>
      <c r="BE147" s="11"/>
      <c r="BF147" s="11"/>
      <c r="BG147" s="11"/>
      <c r="BH147" s="11"/>
    </row>
    <row r="148" spans="1:60" ht="15" x14ac:dyDescent="0.2">
      <c r="A148" s="10"/>
      <c r="B148" s="121" t="s">
        <v>364</v>
      </c>
      <c r="C148" s="266"/>
      <c r="D148" s="267"/>
      <c r="E148" s="267"/>
      <c r="F148" s="6"/>
      <c r="G148" s="6"/>
      <c r="H148" s="6"/>
      <c r="I148" s="6"/>
      <c r="J148" s="10"/>
      <c r="K148" s="10"/>
      <c r="BH148" s="11"/>
    </row>
    <row r="149" spans="1:60" ht="5.0999999999999996" customHeight="1" x14ac:dyDescent="0.2">
      <c r="A149" s="10"/>
      <c r="B149" s="14"/>
      <c r="C149" s="14"/>
      <c r="D149" s="14"/>
      <c r="E149" s="15"/>
      <c r="F149" s="16"/>
      <c r="G149" s="16"/>
      <c r="H149" s="16"/>
      <c r="I149" s="15"/>
      <c r="AT149" s="11"/>
      <c r="AU149" s="11"/>
      <c r="AV149" s="11"/>
      <c r="AW149" s="11"/>
      <c r="AX149" s="11"/>
      <c r="AY149" s="11"/>
      <c r="AZ149" s="11"/>
      <c r="BA149" s="11"/>
      <c r="BB149" s="11"/>
      <c r="BC149" s="11"/>
      <c r="BD149" s="11"/>
      <c r="BE149" s="11"/>
      <c r="BF149" s="11"/>
      <c r="BG149" s="11"/>
      <c r="BH149" s="11"/>
    </row>
    <row r="150" spans="1:60" s="8" customFormat="1" ht="35.25" customHeight="1" x14ac:dyDescent="0.2">
      <c r="A150" s="10"/>
      <c r="B150" s="362" t="s">
        <v>324</v>
      </c>
      <c r="C150" s="362"/>
      <c r="D150" s="362"/>
      <c r="E150" s="30" t="s">
        <v>325</v>
      </c>
      <c r="F150" s="228" t="str">
        <f>IF(AND(ISNUMBER(QAapplic_product_post),ISNUMBER(QVapplic_product_post)),AREAtreated_post*QAapplic_product_post+VOLUMEtreated_interiorsoil_post*QVapplic_product_post,"??")</f>
        <v>??</v>
      </c>
      <c r="G150" s="19" t="s">
        <v>326</v>
      </c>
      <c r="H150" s="19" t="s">
        <v>8</v>
      </c>
      <c r="I150" s="200" t="s">
        <v>846</v>
      </c>
    </row>
    <row r="151" spans="1:60" s="8" customFormat="1" ht="5.0999999999999996" customHeight="1" x14ac:dyDescent="0.2">
      <c r="A151" s="10"/>
      <c r="B151" s="134"/>
      <c r="C151" s="134"/>
      <c r="D151" s="134"/>
      <c r="E151" s="30"/>
      <c r="F151" s="30"/>
      <c r="G151" s="19"/>
      <c r="H151" s="19"/>
      <c r="I151" s="200"/>
    </row>
    <row r="152" spans="1:60" s="8" customFormat="1" ht="28.5" customHeight="1" x14ac:dyDescent="0.2">
      <c r="A152" s="10"/>
      <c r="B152" s="269" t="s">
        <v>642</v>
      </c>
      <c r="C152" s="30"/>
      <c r="D152" s="30"/>
      <c r="E152" s="30" t="s">
        <v>368</v>
      </c>
      <c r="F152" s="228" t="str">
        <f>IF(AND(ISNUMBER(TOTAL_product_applic_post),ISNUMBER(fai_post),ISNUMBER(RHOproduct_post),ISNUMBER(Fapplic_post)),TOTAL_product_applic_post*fai_post*RHOproduct_post*Fapplic_post*1000/TIME_applic_post,"??")</f>
        <v>??</v>
      </c>
      <c r="G152" s="19" t="s">
        <v>814</v>
      </c>
      <c r="H152" s="19" t="s">
        <v>8</v>
      </c>
      <c r="I152" s="200" t="s">
        <v>853</v>
      </c>
    </row>
    <row r="153" spans="1:60" s="8" customFormat="1" ht="5.0999999999999996" customHeight="1" x14ac:dyDescent="0.2">
      <c r="A153" s="10"/>
      <c r="B153" s="134"/>
      <c r="C153" s="134"/>
      <c r="D153" s="134"/>
      <c r="E153" s="30"/>
      <c r="F153" s="30"/>
      <c r="G153" s="19"/>
      <c r="H153" s="19"/>
      <c r="I153" s="304"/>
    </row>
    <row r="154" spans="1:60" s="8" customFormat="1" ht="28.5" x14ac:dyDescent="0.2">
      <c r="A154" s="10"/>
      <c r="B154" s="388" t="s">
        <v>643</v>
      </c>
      <c r="C154" s="270" t="s">
        <v>369</v>
      </c>
      <c r="D154" s="134"/>
      <c r="E154" s="30" t="s">
        <v>370</v>
      </c>
      <c r="F154" s="228" t="str">
        <f>IF(AND(ISNUMBER(TOTAL_product_applic_post),ISNUMBER(fai_post),ISNUMBER(RHOproduct_post)),TOTAL_product_applic_post*fai_post*RHOproduct_post*1000/TIME_applic_post,"??")</f>
        <v>??</v>
      </c>
      <c r="G154" s="19" t="s">
        <v>814</v>
      </c>
      <c r="H154" s="19" t="s">
        <v>8</v>
      </c>
      <c r="I154" s="200" t="s">
        <v>854</v>
      </c>
    </row>
    <row r="155" spans="1:60" s="8" customFormat="1" ht="5.0999999999999996" customHeight="1" x14ac:dyDescent="0.2">
      <c r="A155" s="10"/>
      <c r="B155" s="388"/>
      <c r="C155" s="134"/>
      <c r="D155" s="134"/>
      <c r="E155" s="30"/>
      <c r="F155" s="30"/>
      <c r="G155" s="19"/>
      <c r="H155" s="19"/>
      <c r="I155" s="304"/>
    </row>
    <row r="156" spans="1:60" s="8" customFormat="1" ht="26.25" customHeight="1" x14ac:dyDescent="0.2">
      <c r="A156" s="10"/>
      <c r="B156" s="388"/>
      <c r="C156" s="30" t="s">
        <v>475</v>
      </c>
      <c r="D156" s="134"/>
      <c r="E156" s="30" t="s">
        <v>371</v>
      </c>
      <c r="F156" s="228" t="str">
        <f>IF(ISNUMBER(Qtrench_soil),Qtrench_soil/(RHOsoil_post*VOLUMEtreated_soil_total_post),"??")</f>
        <v>??</v>
      </c>
      <c r="G156" s="19" t="s">
        <v>807</v>
      </c>
      <c r="H156" s="19" t="s">
        <v>8</v>
      </c>
      <c r="I156" s="304" t="s">
        <v>855</v>
      </c>
    </row>
    <row r="157" spans="1:60" s="8" customFormat="1" x14ac:dyDescent="0.2">
      <c r="A157" s="10"/>
      <c r="B157" s="134"/>
      <c r="C157" s="134"/>
      <c r="D157" s="134"/>
      <c r="E157" s="30"/>
      <c r="F157" s="30"/>
      <c r="G157" s="19"/>
      <c r="H157" s="19"/>
      <c r="I157" s="41"/>
    </row>
    <row r="158" spans="1:60" x14ac:dyDescent="0.2">
      <c r="A158" s="10"/>
      <c r="B158" s="121" t="s">
        <v>639</v>
      </c>
      <c r="C158" s="14"/>
      <c r="D158" s="14"/>
      <c r="E158" s="15"/>
      <c r="F158" s="16"/>
      <c r="G158" s="306"/>
      <c r="H158" s="306"/>
      <c r="I158" s="309"/>
      <c r="AS158" s="11"/>
      <c r="AT158" s="11"/>
      <c r="AU158" s="11"/>
      <c r="AV158" s="11"/>
      <c r="AW158" s="11"/>
      <c r="AX158" s="11"/>
      <c r="AY158" s="11"/>
      <c r="AZ158" s="11"/>
      <c r="BA158" s="11"/>
      <c r="BB158" s="11"/>
      <c r="BC158" s="11"/>
      <c r="BD158" s="11"/>
      <c r="BE158" s="11"/>
      <c r="BF158" s="11"/>
      <c r="BG158" s="11"/>
      <c r="BH158" s="11"/>
    </row>
    <row r="159" spans="1:60" s="8" customFormat="1" ht="36" customHeight="1" x14ac:dyDescent="0.2">
      <c r="A159" s="10"/>
      <c r="B159" s="362" t="s">
        <v>381</v>
      </c>
      <c r="C159" s="362"/>
      <c r="D159" s="362"/>
      <c r="E159" s="30" t="s">
        <v>357</v>
      </c>
      <c r="F159" s="228" t="str">
        <f>IF(AND(ISNUMBER(QA_leach_time1),ISNUMBER(QV_leach_time1)),AREAtreated_trench*QA_leach_time1+VOLUMEtreated_trench*QV_leach_time1,"??")</f>
        <v>??</v>
      </c>
      <c r="G159" s="19" t="s">
        <v>326</v>
      </c>
      <c r="H159" s="19" t="s">
        <v>8</v>
      </c>
      <c r="I159" s="200" t="s">
        <v>856</v>
      </c>
    </row>
    <row r="160" spans="1:60" s="8" customFormat="1" ht="5.0999999999999996" customHeight="1" x14ac:dyDescent="0.2">
      <c r="A160" s="10"/>
      <c r="B160" s="261"/>
      <c r="C160" s="261"/>
      <c r="D160" s="261"/>
      <c r="E160" s="30"/>
      <c r="F160" s="30"/>
      <c r="G160" s="19"/>
      <c r="H160" s="19"/>
      <c r="I160" s="308"/>
    </row>
    <row r="161" spans="1:9" s="8" customFormat="1" ht="39.950000000000003" customHeight="1" x14ac:dyDescent="0.2">
      <c r="A161" s="10"/>
      <c r="B161" s="388" t="s">
        <v>641</v>
      </c>
      <c r="C161" s="270" t="s">
        <v>382</v>
      </c>
      <c r="D161" s="30"/>
      <c r="E161" s="30" t="s">
        <v>383</v>
      </c>
      <c r="F161" s="228" t="str">
        <f>IF(AND(ISNUMBER(TOTALproduct_leach_post),ISNUMBER(fai_post),ISNUMBER(RHOproduct_post)),TOTALproduct_leach_post*fai_post*RHOproduct_post*1000,"??")</f>
        <v>??</v>
      </c>
      <c r="G161" s="19" t="s">
        <v>794</v>
      </c>
      <c r="H161" s="19" t="s">
        <v>8</v>
      </c>
      <c r="I161" s="200" t="s">
        <v>857</v>
      </c>
    </row>
    <row r="162" spans="1:9" s="8" customFormat="1" ht="5.0999999999999996" customHeight="1" x14ac:dyDescent="0.2">
      <c r="A162" s="10"/>
      <c r="B162" s="388"/>
      <c r="C162" s="261"/>
      <c r="D162" s="261"/>
      <c r="E162" s="30"/>
      <c r="F162" s="30"/>
      <c r="G162" s="19"/>
      <c r="H162" s="19"/>
      <c r="I162" s="304"/>
    </row>
    <row r="163" spans="1:9" s="8" customFormat="1" ht="39.950000000000003" customHeight="1" x14ac:dyDescent="0.2">
      <c r="A163" s="10"/>
      <c r="B163" s="388"/>
      <c r="C163" s="30" t="s">
        <v>385</v>
      </c>
      <c r="D163" s="261"/>
      <c r="E163" s="30" t="s">
        <v>384</v>
      </c>
      <c r="F163" s="228" t="str">
        <f>IF(AND(ISNUMBER(Qadj_trench_soil),ISNUMBER(F_Koc_post),ISNUMBER(VOLUMEadjtrench_soil)),Qadj_trench_soil*F_runoff_post*F_Koc_post/(RHOsoil_post*VOLUMEadjtrench_soil),"??")</f>
        <v>??</v>
      </c>
      <c r="G163" s="19" t="s">
        <v>807</v>
      </c>
      <c r="H163" s="19" t="s">
        <v>8</v>
      </c>
      <c r="I163" s="200" t="s">
        <v>858</v>
      </c>
    </row>
    <row r="164" spans="1:9" s="8" customFormat="1" x14ac:dyDescent="0.2">
      <c r="A164" s="10"/>
      <c r="B164" s="261"/>
      <c r="C164" s="261"/>
      <c r="D164" s="261"/>
      <c r="E164" s="30"/>
      <c r="F164" s="30"/>
      <c r="G164" s="7"/>
      <c r="H164" s="7"/>
      <c r="I164" s="20"/>
    </row>
    <row r="165" spans="1:9" s="8" customFormat="1" x14ac:dyDescent="0.2">
      <c r="B165" s="86" t="s">
        <v>12</v>
      </c>
      <c r="G165" s="74"/>
      <c r="H165" s="74"/>
      <c r="I165" s="85"/>
    </row>
    <row r="166" spans="1:9" s="8" customFormat="1" x14ac:dyDescent="0.2">
      <c r="B166" s="86"/>
      <c r="C166" s="86"/>
      <c r="F166" s="87"/>
      <c r="G166" s="88"/>
      <c r="H166" s="74"/>
      <c r="I166" s="85"/>
    </row>
    <row r="167" spans="1:9" s="73" customFormat="1" x14ac:dyDescent="0.2">
      <c r="B167" s="307" t="s">
        <v>818</v>
      </c>
      <c r="C167" s="115"/>
      <c r="G167" s="94"/>
      <c r="I167" s="94"/>
    </row>
    <row r="168" spans="1:9" s="73" customFormat="1" x14ac:dyDescent="0.2">
      <c r="C168" s="115"/>
      <c r="G168" s="94"/>
      <c r="I168" s="94"/>
    </row>
    <row r="169" spans="1:9" s="8" customFormat="1" x14ac:dyDescent="0.2">
      <c r="E169" s="85"/>
    </row>
    <row r="170" spans="1:9" s="8" customFormat="1" x14ac:dyDescent="0.2">
      <c r="E170" s="85"/>
    </row>
    <row r="171" spans="1:9" s="8" customFormat="1" x14ac:dyDescent="0.2">
      <c r="E171" s="85"/>
    </row>
    <row r="172" spans="1:9" s="8" customFormat="1" x14ac:dyDescent="0.2">
      <c r="E172" s="85"/>
    </row>
    <row r="173" spans="1:9" s="8" customFormat="1" x14ac:dyDescent="0.2">
      <c r="E173" s="85"/>
    </row>
    <row r="174" spans="1:9" s="8" customFormat="1" x14ac:dyDescent="0.2">
      <c r="E174" s="85"/>
    </row>
    <row r="175" spans="1:9" s="8" customFormat="1" x14ac:dyDescent="0.2">
      <c r="E175" s="85"/>
    </row>
    <row r="176" spans="1:9" s="8" customFormat="1" x14ac:dyDescent="0.2">
      <c r="E176" s="85"/>
    </row>
    <row r="177" spans="5:5" s="8" customFormat="1" x14ac:dyDescent="0.2">
      <c r="E177" s="85"/>
    </row>
    <row r="178" spans="5:5" s="8" customFormat="1" x14ac:dyDescent="0.2">
      <c r="E178" s="85"/>
    </row>
    <row r="179" spans="5:5" s="8" customFormat="1" x14ac:dyDescent="0.2">
      <c r="E179" s="85"/>
    </row>
    <row r="180" spans="5:5" s="8" customFormat="1" x14ac:dyDescent="0.2">
      <c r="E180" s="85"/>
    </row>
    <row r="181" spans="5:5" s="8" customFormat="1" x14ac:dyDescent="0.2">
      <c r="E181" s="85"/>
    </row>
    <row r="182" spans="5:5" s="8" customFormat="1" x14ac:dyDescent="0.2">
      <c r="E182" s="85"/>
    </row>
    <row r="183" spans="5:5" s="8" customFormat="1" x14ac:dyDescent="0.2">
      <c r="E183" s="85"/>
    </row>
    <row r="184" spans="5:5" s="8" customFormat="1" x14ac:dyDescent="0.2">
      <c r="E184" s="85"/>
    </row>
    <row r="185" spans="5:5" s="8" customFormat="1" x14ac:dyDescent="0.2">
      <c r="E185" s="85"/>
    </row>
    <row r="186" spans="5:5" s="8" customFormat="1" x14ac:dyDescent="0.2">
      <c r="E186" s="85"/>
    </row>
    <row r="187" spans="5:5" s="8" customFormat="1" x14ac:dyDescent="0.2">
      <c r="E187" s="85"/>
    </row>
    <row r="188" spans="5:5" s="8" customFormat="1" x14ac:dyDescent="0.2">
      <c r="E188" s="85"/>
    </row>
    <row r="189" spans="5:5" s="8" customFormat="1" x14ac:dyDescent="0.2">
      <c r="E189" s="85"/>
    </row>
    <row r="190" spans="5:5" s="8" customFormat="1" x14ac:dyDescent="0.2">
      <c r="E190" s="85"/>
    </row>
    <row r="191" spans="5:5" s="8" customFormat="1" x14ac:dyDescent="0.2">
      <c r="E191" s="85"/>
    </row>
    <row r="192" spans="5:5" s="8" customFormat="1" x14ac:dyDescent="0.2">
      <c r="E192" s="85"/>
    </row>
    <row r="193" spans="5:5" s="8" customFormat="1" x14ac:dyDescent="0.2">
      <c r="E193" s="85"/>
    </row>
    <row r="194" spans="5:5" s="8" customFormat="1" x14ac:dyDescent="0.2">
      <c r="E194" s="85"/>
    </row>
    <row r="195" spans="5:5" s="8" customFormat="1" x14ac:dyDescent="0.2">
      <c r="E195" s="85"/>
    </row>
    <row r="196" spans="5:5" s="8" customFormat="1" x14ac:dyDescent="0.2">
      <c r="E196" s="85"/>
    </row>
    <row r="197" spans="5:5" s="8" customFormat="1" x14ac:dyDescent="0.2">
      <c r="E197" s="85"/>
    </row>
    <row r="198" spans="5:5" s="8" customFormat="1" x14ac:dyDescent="0.2">
      <c r="E198" s="85"/>
    </row>
    <row r="199" spans="5:5" s="8" customFormat="1" x14ac:dyDescent="0.2">
      <c r="E199" s="85"/>
    </row>
    <row r="200" spans="5:5" s="8" customFormat="1" x14ac:dyDescent="0.2">
      <c r="E200" s="85"/>
    </row>
    <row r="201" spans="5:5" s="8" customFormat="1" x14ac:dyDescent="0.2">
      <c r="E201" s="85"/>
    </row>
    <row r="202" spans="5:5" s="8" customFormat="1" x14ac:dyDescent="0.2">
      <c r="E202" s="85"/>
    </row>
    <row r="203" spans="5:5" s="8" customFormat="1" x14ac:dyDescent="0.2">
      <c r="E203" s="85"/>
    </row>
    <row r="204" spans="5:5" s="8" customFormat="1" x14ac:dyDescent="0.2">
      <c r="E204" s="85"/>
    </row>
    <row r="205" spans="5:5" s="8" customFormat="1" x14ac:dyDescent="0.2">
      <c r="E205" s="85"/>
    </row>
    <row r="206" spans="5:5" s="8" customFormat="1" x14ac:dyDescent="0.2">
      <c r="E206" s="85"/>
    </row>
    <row r="207" spans="5:5" s="8" customFormat="1" x14ac:dyDescent="0.2">
      <c r="E207" s="85"/>
    </row>
    <row r="208" spans="5:5" s="8" customFormat="1" x14ac:dyDescent="0.2">
      <c r="E208" s="85"/>
    </row>
    <row r="209" spans="5:5" s="8" customFormat="1" x14ac:dyDescent="0.2">
      <c r="E209" s="85"/>
    </row>
    <row r="210" spans="5:5" s="8" customFormat="1" x14ac:dyDescent="0.2">
      <c r="E210" s="85"/>
    </row>
    <row r="211" spans="5:5" s="8" customFormat="1" x14ac:dyDescent="0.2">
      <c r="E211" s="85"/>
    </row>
    <row r="212" spans="5:5" s="8" customFormat="1" x14ac:dyDescent="0.2">
      <c r="E212" s="85"/>
    </row>
    <row r="213" spans="5:5" s="8" customFormat="1" x14ac:dyDescent="0.2">
      <c r="E213" s="85"/>
    </row>
    <row r="214" spans="5:5" s="8" customFormat="1" x14ac:dyDescent="0.2">
      <c r="E214" s="85"/>
    </row>
    <row r="215" spans="5:5" s="8" customFormat="1" x14ac:dyDescent="0.2">
      <c r="E215" s="85"/>
    </row>
    <row r="216" spans="5:5" s="8" customFormat="1" x14ac:dyDescent="0.2">
      <c r="E216" s="85"/>
    </row>
    <row r="217" spans="5:5" s="8" customFormat="1" x14ac:dyDescent="0.2">
      <c r="E217" s="85"/>
    </row>
    <row r="218" spans="5:5" s="8" customFormat="1" x14ac:dyDescent="0.2">
      <c r="E218" s="85"/>
    </row>
    <row r="219" spans="5:5" s="8" customFormat="1" x14ac:dyDescent="0.2">
      <c r="E219" s="85"/>
    </row>
    <row r="220" spans="5:5" s="8" customFormat="1" x14ac:dyDescent="0.2">
      <c r="E220" s="85"/>
    </row>
    <row r="221" spans="5:5" s="8" customFormat="1" x14ac:dyDescent="0.2">
      <c r="E221" s="85"/>
    </row>
    <row r="222" spans="5:5" s="8" customFormat="1" x14ac:dyDescent="0.2">
      <c r="E222" s="85"/>
    </row>
    <row r="223" spans="5:5" s="8" customFormat="1" x14ac:dyDescent="0.2">
      <c r="E223" s="85"/>
    </row>
    <row r="224" spans="5:5" s="8" customFormat="1" x14ac:dyDescent="0.2">
      <c r="E224" s="85"/>
    </row>
    <row r="225" spans="5:5" s="8" customFormat="1" x14ac:dyDescent="0.2">
      <c r="E225" s="85"/>
    </row>
    <row r="226" spans="5:5" s="8" customFormat="1" x14ac:dyDescent="0.2">
      <c r="E226" s="85"/>
    </row>
    <row r="227" spans="5:5" s="8" customFormat="1" x14ac:dyDescent="0.2">
      <c r="E227" s="85"/>
    </row>
    <row r="228" spans="5:5" s="8" customFormat="1" x14ac:dyDescent="0.2">
      <c r="E228" s="85"/>
    </row>
    <row r="229" spans="5:5" s="8" customFormat="1" x14ac:dyDescent="0.2">
      <c r="E229" s="85"/>
    </row>
    <row r="230" spans="5:5" s="8" customFormat="1" x14ac:dyDescent="0.2">
      <c r="E230" s="85"/>
    </row>
    <row r="231" spans="5:5" s="8" customFormat="1" x14ac:dyDescent="0.2">
      <c r="E231" s="85"/>
    </row>
    <row r="232" spans="5:5" s="8" customFormat="1" x14ac:dyDescent="0.2">
      <c r="E232" s="85"/>
    </row>
    <row r="233" spans="5:5" s="8" customFormat="1" x14ac:dyDescent="0.2">
      <c r="E233" s="85"/>
    </row>
    <row r="234" spans="5:5" s="8" customFormat="1" x14ac:dyDescent="0.2">
      <c r="E234" s="85"/>
    </row>
    <row r="235" spans="5:5" s="8" customFormat="1" x14ac:dyDescent="0.2">
      <c r="E235" s="85"/>
    </row>
    <row r="236" spans="5:5" s="8" customFormat="1" x14ac:dyDescent="0.2">
      <c r="E236" s="85"/>
    </row>
    <row r="237" spans="5:5" s="8" customFormat="1" x14ac:dyDescent="0.2">
      <c r="E237" s="85"/>
    </row>
    <row r="238" spans="5:5" s="8" customFormat="1" x14ac:dyDescent="0.2">
      <c r="E238" s="85"/>
    </row>
    <row r="239" spans="5:5" s="8" customFormat="1" x14ac:dyDescent="0.2">
      <c r="E239" s="85"/>
    </row>
    <row r="240" spans="5:5" s="8" customFormat="1" x14ac:dyDescent="0.2">
      <c r="E240" s="85"/>
    </row>
    <row r="241" spans="5:5" s="8" customFormat="1" x14ac:dyDescent="0.2">
      <c r="E241" s="85"/>
    </row>
    <row r="242" spans="5:5" s="8" customFormat="1" x14ac:dyDescent="0.2">
      <c r="E242" s="85"/>
    </row>
    <row r="243" spans="5:5" s="8" customFormat="1" x14ac:dyDescent="0.2">
      <c r="E243" s="85"/>
    </row>
    <row r="244" spans="5:5" s="8" customFormat="1" x14ac:dyDescent="0.2">
      <c r="E244" s="85"/>
    </row>
    <row r="245" spans="5:5" s="8" customFormat="1" x14ac:dyDescent="0.2">
      <c r="E245" s="85"/>
    </row>
    <row r="246" spans="5:5" s="8" customFormat="1" x14ac:dyDescent="0.2">
      <c r="E246" s="85"/>
    </row>
    <row r="247" spans="5:5" s="8" customFormat="1" x14ac:dyDescent="0.2">
      <c r="E247" s="85"/>
    </row>
    <row r="248" spans="5:5" s="8" customFormat="1" x14ac:dyDescent="0.2">
      <c r="E248" s="85"/>
    </row>
    <row r="249" spans="5:5" s="8" customFormat="1" x14ac:dyDescent="0.2">
      <c r="E249" s="85"/>
    </row>
    <row r="250" spans="5:5" s="8" customFormat="1" x14ac:dyDescent="0.2">
      <c r="E250" s="85"/>
    </row>
    <row r="251" spans="5:5" s="8" customFormat="1" x14ac:dyDescent="0.2">
      <c r="E251" s="85"/>
    </row>
    <row r="252" spans="5:5" s="8" customFormat="1" x14ac:dyDescent="0.2">
      <c r="E252" s="85"/>
    </row>
    <row r="253" spans="5:5" s="8" customFormat="1" x14ac:dyDescent="0.2">
      <c r="E253" s="85"/>
    </row>
    <row r="254" spans="5:5" s="8" customFormat="1" x14ac:dyDescent="0.2">
      <c r="E254" s="85"/>
    </row>
    <row r="255" spans="5:5" s="8" customFormat="1" x14ac:dyDescent="0.2">
      <c r="E255" s="85"/>
    </row>
    <row r="256" spans="5:5" s="8" customFormat="1" x14ac:dyDescent="0.2">
      <c r="E256" s="85"/>
    </row>
    <row r="257" spans="5:5" s="8" customFormat="1" x14ac:dyDescent="0.2">
      <c r="E257" s="85"/>
    </row>
    <row r="258" spans="5:5" s="8" customFormat="1" x14ac:dyDescent="0.2">
      <c r="E258" s="85"/>
    </row>
    <row r="259" spans="5:5" s="8" customFormat="1" x14ac:dyDescent="0.2">
      <c r="E259" s="85"/>
    </row>
    <row r="260" spans="5:5" s="8" customFormat="1" x14ac:dyDescent="0.2">
      <c r="E260" s="85"/>
    </row>
    <row r="261" spans="5:5" s="8" customFormat="1" x14ac:dyDescent="0.2">
      <c r="E261" s="85"/>
    </row>
    <row r="262" spans="5:5" s="8" customFormat="1" x14ac:dyDescent="0.2">
      <c r="E262" s="85"/>
    </row>
    <row r="263" spans="5:5" s="8" customFormat="1" x14ac:dyDescent="0.2">
      <c r="E263" s="85"/>
    </row>
    <row r="264" spans="5:5" s="8" customFormat="1" x14ac:dyDescent="0.2">
      <c r="E264" s="85"/>
    </row>
    <row r="265" spans="5:5" s="8" customFormat="1" x14ac:dyDescent="0.2">
      <c r="E265" s="85"/>
    </row>
    <row r="266" spans="5:5" s="8" customFormat="1" x14ac:dyDescent="0.2">
      <c r="E266" s="85"/>
    </row>
    <row r="267" spans="5:5" s="8" customFormat="1" x14ac:dyDescent="0.2">
      <c r="E267" s="85"/>
    </row>
    <row r="268" spans="5:5" s="8" customFormat="1" x14ac:dyDescent="0.2">
      <c r="E268" s="85"/>
    </row>
    <row r="269" spans="5:5" s="8" customFormat="1" x14ac:dyDescent="0.2">
      <c r="E269" s="85"/>
    </row>
    <row r="270" spans="5:5" s="8" customFormat="1" x14ac:dyDescent="0.2">
      <c r="E270" s="85"/>
    </row>
    <row r="271" spans="5:5" s="8" customFormat="1" x14ac:dyDescent="0.2">
      <c r="E271" s="85"/>
    </row>
    <row r="272" spans="5:5" s="8" customFormat="1" x14ac:dyDescent="0.2">
      <c r="E272" s="85"/>
    </row>
    <row r="273" spans="5:5" s="8" customFormat="1" x14ac:dyDescent="0.2">
      <c r="E273" s="85"/>
    </row>
    <row r="274" spans="5:5" s="8" customFormat="1" x14ac:dyDescent="0.2">
      <c r="E274" s="85"/>
    </row>
    <row r="275" spans="5:5" s="8" customFormat="1" x14ac:dyDescent="0.2">
      <c r="E275" s="85"/>
    </row>
    <row r="276" spans="5:5" s="8" customFormat="1" x14ac:dyDescent="0.2">
      <c r="E276" s="85"/>
    </row>
    <row r="277" spans="5:5" s="8" customFormat="1" x14ac:dyDescent="0.2">
      <c r="E277" s="85"/>
    </row>
    <row r="278" spans="5:5" s="8" customFormat="1" x14ac:dyDescent="0.2">
      <c r="E278" s="85"/>
    </row>
    <row r="279" spans="5:5" s="8" customFormat="1" x14ac:dyDescent="0.2">
      <c r="E279" s="85"/>
    </row>
    <row r="280" spans="5:5" s="8" customFormat="1" x14ac:dyDescent="0.2">
      <c r="E280" s="85"/>
    </row>
    <row r="281" spans="5:5" s="8" customFormat="1" x14ac:dyDescent="0.2">
      <c r="E281" s="85"/>
    </row>
    <row r="282" spans="5:5" s="8" customFormat="1" x14ac:dyDescent="0.2">
      <c r="E282" s="85"/>
    </row>
    <row r="283" spans="5:5" s="8" customFormat="1" x14ac:dyDescent="0.2">
      <c r="E283" s="85"/>
    </row>
    <row r="284" spans="5:5" s="8" customFormat="1" x14ac:dyDescent="0.2">
      <c r="E284" s="85"/>
    </row>
    <row r="285" spans="5:5" s="8" customFormat="1" x14ac:dyDescent="0.2">
      <c r="E285" s="85"/>
    </row>
    <row r="286" spans="5:5" s="8" customFormat="1" x14ac:dyDescent="0.2">
      <c r="E286" s="85"/>
    </row>
    <row r="287" spans="5:5" s="8" customFormat="1" x14ac:dyDescent="0.2">
      <c r="E287" s="85"/>
    </row>
    <row r="288" spans="5:5" s="8" customFormat="1" x14ac:dyDescent="0.2">
      <c r="E288" s="85"/>
    </row>
    <row r="289" spans="5:5" s="8" customFormat="1" x14ac:dyDescent="0.2">
      <c r="E289" s="85"/>
    </row>
    <row r="290" spans="5:5" s="8" customFormat="1" x14ac:dyDescent="0.2">
      <c r="E290" s="85"/>
    </row>
    <row r="291" spans="5:5" s="8" customFormat="1" x14ac:dyDescent="0.2">
      <c r="E291" s="85"/>
    </row>
    <row r="292" spans="5:5" s="8" customFormat="1" x14ac:dyDescent="0.2">
      <c r="E292" s="85"/>
    </row>
    <row r="293" spans="5:5" s="8" customFormat="1" x14ac:dyDescent="0.2">
      <c r="E293" s="85"/>
    </row>
    <row r="294" spans="5:5" s="8" customFormat="1" x14ac:dyDescent="0.2">
      <c r="E294" s="85"/>
    </row>
    <row r="295" spans="5:5" s="8" customFormat="1" x14ac:dyDescent="0.2">
      <c r="E295" s="85"/>
    </row>
    <row r="296" spans="5:5" s="8" customFormat="1" x14ac:dyDescent="0.2">
      <c r="E296" s="85"/>
    </row>
    <row r="297" spans="5:5" s="8" customFormat="1" x14ac:dyDescent="0.2">
      <c r="E297" s="85"/>
    </row>
    <row r="298" spans="5:5" s="8" customFormat="1" x14ac:dyDescent="0.2">
      <c r="E298" s="85"/>
    </row>
    <row r="299" spans="5:5" s="8" customFormat="1" x14ac:dyDescent="0.2">
      <c r="E299" s="85"/>
    </row>
    <row r="300" spans="5:5" s="8" customFormat="1" x14ac:dyDescent="0.2">
      <c r="E300" s="85"/>
    </row>
    <row r="301" spans="5:5" s="8" customFormat="1" x14ac:dyDescent="0.2">
      <c r="E301" s="85"/>
    </row>
    <row r="302" spans="5:5" s="8" customFormat="1" x14ac:dyDescent="0.2">
      <c r="E302" s="85"/>
    </row>
    <row r="303" spans="5:5" s="8" customFormat="1" x14ac:dyDescent="0.2">
      <c r="E303" s="85"/>
    </row>
    <row r="304" spans="5:5" s="8" customFormat="1" x14ac:dyDescent="0.2">
      <c r="E304" s="85"/>
    </row>
    <row r="305" spans="5:5" s="8" customFormat="1" x14ac:dyDescent="0.2">
      <c r="E305" s="85"/>
    </row>
    <row r="306" spans="5:5" s="8" customFormat="1" x14ac:dyDescent="0.2">
      <c r="E306" s="85"/>
    </row>
    <row r="307" spans="5:5" s="8" customFormat="1" x14ac:dyDescent="0.2">
      <c r="E307" s="85"/>
    </row>
    <row r="308" spans="5:5" s="8" customFormat="1" x14ac:dyDescent="0.2">
      <c r="E308" s="85"/>
    </row>
    <row r="309" spans="5:5" s="8" customFormat="1" x14ac:dyDescent="0.2">
      <c r="E309" s="85"/>
    </row>
    <row r="310" spans="5:5" s="8" customFormat="1" x14ac:dyDescent="0.2">
      <c r="E310" s="85"/>
    </row>
    <row r="311" spans="5:5" s="8" customFormat="1" x14ac:dyDescent="0.2">
      <c r="E311" s="85"/>
    </row>
    <row r="312" spans="5:5" s="8" customFormat="1" x14ac:dyDescent="0.2">
      <c r="E312" s="85"/>
    </row>
    <row r="313" spans="5:5" s="8" customFormat="1" x14ac:dyDescent="0.2">
      <c r="E313" s="85"/>
    </row>
    <row r="314" spans="5:5" s="8" customFormat="1" x14ac:dyDescent="0.2">
      <c r="E314" s="85"/>
    </row>
    <row r="315" spans="5:5" s="8" customFormat="1" x14ac:dyDescent="0.2">
      <c r="E315" s="85"/>
    </row>
    <row r="316" spans="5:5" s="8" customFormat="1" x14ac:dyDescent="0.2">
      <c r="E316" s="85"/>
    </row>
    <row r="317" spans="5:5" s="8" customFormat="1" x14ac:dyDescent="0.2">
      <c r="E317" s="85"/>
    </row>
    <row r="318" spans="5:5" s="8" customFormat="1" x14ac:dyDescent="0.2">
      <c r="E318" s="85"/>
    </row>
    <row r="319" spans="5:5" s="8" customFormat="1" x14ac:dyDescent="0.2">
      <c r="E319" s="85"/>
    </row>
    <row r="320" spans="5:5" s="8" customFormat="1" x14ac:dyDescent="0.2">
      <c r="E320" s="85"/>
    </row>
    <row r="321" spans="5:5" s="8" customFormat="1" x14ac:dyDescent="0.2">
      <c r="E321" s="85"/>
    </row>
    <row r="322" spans="5:5" s="8" customFormat="1" x14ac:dyDescent="0.2">
      <c r="E322" s="85"/>
    </row>
    <row r="323" spans="5:5" s="8" customFormat="1" x14ac:dyDescent="0.2">
      <c r="E323" s="85"/>
    </row>
    <row r="324" spans="5:5" s="8" customFormat="1" x14ac:dyDescent="0.2">
      <c r="E324" s="85"/>
    </row>
    <row r="325" spans="5:5" s="8" customFormat="1" x14ac:dyDescent="0.2">
      <c r="E325" s="85"/>
    </row>
    <row r="326" spans="5:5" s="8" customFormat="1" x14ac:dyDescent="0.2">
      <c r="E326" s="85"/>
    </row>
    <row r="327" spans="5:5" s="8" customFormat="1" x14ac:dyDescent="0.2">
      <c r="E327" s="85"/>
    </row>
    <row r="328" spans="5:5" s="8" customFormat="1" x14ac:dyDescent="0.2">
      <c r="E328" s="85"/>
    </row>
    <row r="329" spans="5:5" s="8" customFormat="1" x14ac:dyDescent="0.2">
      <c r="E329" s="85"/>
    </row>
    <row r="330" spans="5:5" s="8" customFormat="1" x14ac:dyDescent="0.2">
      <c r="E330" s="85"/>
    </row>
    <row r="331" spans="5:5" s="8" customFormat="1" x14ac:dyDescent="0.2">
      <c r="E331" s="85"/>
    </row>
    <row r="332" spans="5:5" s="8" customFormat="1" x14ac:dyDescent="0.2">
      <c r="E332" s="85"/>
    </row>
    <row r="333" spans="5:5" s="8" customFormat="1" x14ac:dyDescent="0.2">
      <c r="E333" s="85"/>
    </row>
    <row r="334" spans="5:5" s="8" customFormat="1" x14ac:dyDescent="0.2">
      <c r="E334" s="85"/>
    </row>
    <row r="335" spans="5:5" s="8" customFormat="1" x14ac:dyDescent="0.2">
      <c r="E335" s="85"/>
    </row>
    <row r="336" spans="5:5" s="8" customFormat="1" x14ac:dyDescent="0.2">
      <c r="E336" s="85"/>
    </row>
    <row r="337" spans="5:5" s="8" customFormat="1" x14ac:dyDescent="0.2">
      <c r="E337" s="85"/>
    </row>
    <row r="338" spans="5:5" s="8" customFormat="1" x14ac:dyDescent="0.2">
      <c r="E338" s="85"/>
    </row>
    <row r="339" spans="5:5" s="8" customFormat="1" x14ac:dyDescent="0.2">
      <c r="E339" s="85"/>
    </row>
    <row r="340" spans="5:5" s="8" customFormat="1" x14ac:dyDescent="0.2">
      <c r="E340" s="85"/>
    </row>
    <row r="341" spans="5:5" s="8" customFormat="1" x14ac:dyDescent="0.2">
      <c r="E341" s="85"/>
    </row>
    <row r="342" spans="5:5" s="8" customFormat="1" x14ac:dyDescent="0.2">
      <c r="E342" s="85"/>
    </row>
    <row r="343" spans="5:5" s="8" customFormat="1" x14ac:dyDescent="0.2">
      <c r="E343" s="85"/>
    </row>
    <row r="344" spans="5:5" s="8" customFormat="1" x14ac:dyDescent="0.2">
      <c r="E344" s="85"/>
    </row>
    <row r="345" spans="5:5" s="8" customFormat="1" x14ac:dyDescent="0.2">
      <c r="E345" s="85"/>
    </row>
    <row r="346" spans="5:5" s="8" customFormat="1" x14ac:dyDescent="0.2">
      <c r="E346" s="85"/>
    </row>
    <row r="347" spans="5:5" s="8" customFormat="1" x14ac:dyDescent="0.2">
      <c r="E347" s="85"/>
    </row>
    <row r="348" spans="5:5" s="8" customFormat="1" x14ac:dyDescent="0.2">
      <c r="E348" s="85"/>
    </row>
    <row r="349" spans="5:5" s="8" customFormat="1" x14ac:dyDescent="0.2">
      <c r="E349" s="85"/>
    </row>
    <row r="350" spans="5:5" s="8" customFormat="1" x14ac:dyDescent="0.2">
      <c r="E350" s="85"/>
    </row>
    <row r="351" spans="5:5" s="8" customFormat="1" x14ac:dyDescent="0.2">
      <c r="E351" s="85"/>
    </row>
    <row r="352" spans="5:5" s="8" customFormat="1" x14ac:dyDescent="0.2">
      <c r="E352" s="85"/>
    </row>
    <row r="353" spans="5:5" s="8" customFormat="1" x14ac:dyDescent="0.2">
      <c r="E353" s="85"/>
    </row>
    <row r="354" spans="5:5" s="8" customFormat="1" x14ac:dyDescent="0.2">
      <c r="E354" s="85"/>
    </row>
    <row r="355" spans="5:5" s="8" customFormat="1" x14ac:dyDescent="0.2">
      <c r="E355" s="85"/>
    </row>
    <row r="356" spans="5:5" s="8" customFormat="1" x14ac:dyDescent="0.2">
      <c r="E356" s="85"/>
    </row>
    <row r="357" spans="5:5" s="8" customFormat="1" x14ac:dyDescent="0.2">
      <c r="E357" s="85"/>
    </row>
    <row r="358" spans="5:5" s="8" customFormat="1" x14ac:dyDescent="0.2">
      <c r="E358" s="85"/>
    </row>
    <row r="359" spans="5:5" s="8" customFormat="1" x14ac:dyDescent="0.2">
      <c r="E359" s="85"/>
    </row>
    <row r="360" spans="5:5" s="8" customFormat="1" x14ac:dyDescent="0.2">
      <c r="E360" s="85"/>
    </row>
    <row r="361" spans="5:5" s="8" customFormat="1" x14ac:dyDescent="0.2">
      <c r="E361" s="85"/>
    </row>
    <row r="362" spans="5:5" s="8" customFormat="1" x14ac:dyDescent="0.2">
      <c r="E362" s="85"/>
    </row>
    <row r="363" spans="5:5" s="8" customFormat="1" x14ac:dyDescent="0.2">
      <c r="E363" s="85"/>
    </row>
    <row r="364" spans="5:5" s="8" customFormat="1" x14ac:dyDescent="0.2">
      <c r="E364" s="85"/>
    </row>
    <row r="365" spans="5:5" s="8" customFormat="1" x14ac:dyDescent="0.2">
      <c r="E365" s="85"/>
    </row>
    <row r="366" spans="5:5" s="8" customFormat="1" x14ac:dyDescent="0.2">
      <c r="E366" s="85"/>
    </row>
    <row r="367" spans="5:5" s="8" customFormat="1" x14ac:dyDescent="0.2">
      <c r="E367" s="85"/>
    </row>
    <row r="368" spans="5:5" s="8" customFormat="1" x14ac:dyDescent="0.2">
      <c r="E368" s="85"/>
    </row>
    <row r="369" spans="5:5" s="8" customFormat="1" x14ac:dyDescent="0.2">
      <c r="E369" s="85"/>
    </row>
    <row r="370" spans="5:5" s="8" customFormat="1" x14ac:dyDescent="0.2">
      <c r="E370" s="85"/>
    </row>
    <row r="371" spans="5:5" s="8" customFormat="1" x14ac:dyDescent="0.2">
      <c r="E371" s="85"/>
    </row>
    <row r="372" spans="5:5" s="8" customFormat="1" x14ac:dyDescent="0.2">
      <c r="E372" s="85"/>
    </row>
    <row r="373" spans="5:5" s="8" customFormat="1" x14ac:dyDescent="0.2">
      <c r="E373" s="85"/>
    </row>
    <row r="374" spans="5:5" s="8" customFormat="1" x14ac:dyDescent="0.2">
      <c r="E374" s="85"/>
    </row>
    <row r="375" spans="5:5" s="8" customFormat="1" x14ac:dyDescent="0.2">
      <c r="E375" s="85"/>
    </row>
    <row r="376" spans="5:5" s="8" customFormat="1" x14ac:dyDescent="0.2">
      <c r="E376" s="85"/>
    </row>
    <row r="377" spans="5:5" s="8" customFormat="1" x14ac:dyDescent="0.2">
      <c r="E377" s="85"/>
    </row>
    <row r="378" spans="5:5" s="8" customFormat="1" x14ac:dyDescent="0.2">
      <c r="E378" s="85"/>
    </row>
    <row r="379" spans="5:5" s="8" customFormat="1" x14ac:dyDescent="0.2">
      <c r="E379" s="85"/>
    </row>
    <row r="380" spans="5:5" s="8" customFormat="1" x14ac:dyDescent="0.2">
      <c r="E380" s="85"/>
    </row>
    <row r="381" spans="5:5" s="8" customFormat="1" x14ac:dyDescent="0.2">
      <c r="E381" s="85"/>
    </row>
    <row r="382" spans="5:5" s="8" customFormat="1" x14ac:dyDescent="0.2">
      <c r="E382" s="85"/>
    </row>
    <row r="383" spans="5:5" s="8" customFormat="1" x14ac:dyDescent="0.2">
      <c r="E383" s="85"/>
    </row>
    <row r="384" spans="5:5" s="8" customFormat="1" x14ac:dyDescent="0.2">
      <c r="E384" s="85"/>
    </row>
    <row r="385" spans="5:5" s="8" customFormat="1" x14ac:dyDescent="0.2">
      <c r="E385" s="85"/>
    </row>
    <row r="386" spans="5:5" s="8" customFormat="1" x14ac:dyDescent="0.2">
      <c r="E386" s="85"/>
    </row>
    <row r="387" spans="5:5" s="8" customFormat="1" x14ac:dyDescent="0.2">
      <c r="E387" s="85"/>
    </row>
    <row r="388" spans="5:5" s="8" customFormat="1" x14ac:dyDescent="0.2">
      <c r="E388" s="85"/>
    </row>
  </sheetData>
  <sheetProtection algorithmName="SHA-512" hashValue="0UfFDP2gcFMBIGIPnsVvWtDXB2jq2yBuBBlvfMNU9daXMf8ZCf7hLvggDnPUs13AqxzpAmLQe8Z5XMW/PUJfCw==" saltValue="9mm/LDFPtuhibI/xFFQ7/Q==" spinCount="100000" sheet="1" objects="1" scenarios="1" formatCells="0" formatColumns="0" formatRows="0"/>
  <mergeCells count="47">
    <mergeCell ref="B161:B163"/>
    <mergeCell ref="B98:I98"/>
    <mergeCell ref="B99:I99"/>
    <mergeCell ref="B97:I97"/>
    <mergeCell ref="B154:B156"/>
    <mergeCell ref="B143:C143"/>
    <mergeCell ref="B159:D159"/>
    <mergeCell ref="B150:D150"/>
    <mergeCell ref="B129:C129"/>
    <mergeCell ref="B138:C138"/>
    <mergeCell ref="B135:C136"/>
    <mergeCell ref="B75:B77"/>
    <mergeCell ref="B83:B85"/>
    <mergeCell ref="B95:I95"/>
    <mergeCell ref="B96:I96"/>
    <mergeCell ref="B140:C140"/>
    <mergeCell ref="B81:D81"/>
    <mergeCell ref="B104:C104"/>
    <mergeCell ref="B105:C105"/>
    <mergeCell ref="B107:C107"/>
    <mergeCell ref="B115:C115"/>
    <mergeCell ref="B119:C119"/>
    <mergeCell ref="B117:C117"/>
    <mergeCell ref="B118:C118"/>
    <mergeCell ref="B113:C113"/>
    <mergeCell ref="B121:C121"/>
    <mergeCell ref="B122:C122"/>
    <mergeCell ref="B42:C42"/>
    <mergeCell ref="B20:I20"/>
    <mergeCell ref="B14:I14"/>
    <mergeCell ref="B19:I19"/>
    <mergeCell ref="B37:C37"/>
    <mergeCell ref="B41:C41"/>
    <mergeCell ref="B28:C28"/>
    <mergeCell ref="B29:C29"/>
    <mergeCell ref="B31:C31"/>
    <mergeCell ref="B21:I21"/>
    <mergeCell ref="B22:I22"/>
    <mergeCell ref="B23:I23"/>
    <mergeCell ref="B43:C43"/>
    <mergeCell ref="B45:C45"/>
    <mergeCell ref="B71:D71"/>
    <mergeCell ref="B53:C53"/>
    <mergeCell ref="B55:C55"/>
    <mergeCell ref="B56:C56"/>
    <mergeCell ref="B57:C57"/>
    <mergeCell ref="B61:C61"/>
  </mergeCells>
  <dataValidations count="3">
    <dataValidation type="list" allowBlank="1" showInputMessage="1" showErrorMessage="1" sqref="C47 C123">
      <formula1>VP_termite</formula1>
    </dataValidation>
    <dataValidation type="list" allowBlank="1" showInputMessage="1" showErrorMessage="1" sqref="C59 C133">
      <formula1>Distance</formula1>
    </dataValidation>
    <dataValidation type="list" allowBlank="1" showInputMessage="1" showErrorMessage="1" sqref="C63 C142">
      <formula1>Koc</formula1>
    </dataValidation>
  </dataValidations>
  <hyperlinks>
    <hyperlink ref="B9:I9" location="'PT8-termite control'!A_Preventive_pre_construction_foundation_treatment" display="A) Preventive pre-construction foundation treatment (in situ treatment: ESD Table 4.34 p.99, and service life: Table 4.35 p. 102)"/>
    <hyperlink ref="B10:I10" location="'PT8-termite control'!B_Post_construction_trench_treatment" display="B)  Post-construction trench treatment (in situ treatment: ESD Table 4.36 p.105, and service life: Table 4.37 p. 108)"/>
    <hyperlink ref="B89" location="'PT8-termite control'!A1" display="Go to the top of the page"/>
    <hyperlink ref="B167" location="'PT8-termite control'!A1" display="Go to the top of the page"/>
  </hyperlinks>
  <pageMargins left="0.7" right="0.7" top="0.75" bottom="0.75" header="0.3" footer="0.3"/>
  <pageSetup paperSize="9" scale="17"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50"/>
  <sheetViews>
    <sheetView zoomScale="81" zoomScaleNormal="81" workbookViewId="0"/>
  </sheetViews>
  <sheetFormatPr defaultColWidth="8.75" defaultRowHeight="12.75" x14ac:dyDescent="0.2"/>
  <cols>
    <col min="1" max="1" width="1.625" style="8" customWidth="1"/>
    <col min="2" max="2" width="65.625" style="11" customWidth="1"/>
    <col min="3" max="3" width="1.625" style="11" customWidth="1"/>
    <col min="4" max="4" width="20.625" style="91" customWidth="1"/>
    <col min="5" max="5" width="15.625" style="11" customWidth="1"/>
    <col min="6" max="7" width="10.625" style="11" customWidth="1"/>
    <col min="8" max="8" width="70.625" style="11" customWidth="1"/>
    <col min="9" max="10" width="15.625" style="8" customWidth="1"/>
    <col min="11" max="59" width="8.75" style="8"/>
    <col min="60" max="16384" width="8.75" style="11"/>
  </cols>
  <sheetData>
    <row r="1" spans="1:64" x14ac:dyDescent="0.2">
      <c r="A1" s="10"/>
      <c r="B1" s="10"/>
      <c r="C1" s="10"/>
      <c r="D1" s="61"/>
      <c r="E1" s="10"/>
      <c r="F1" s="10"/>
      <c r="G1" s="10"/>
      <c r="H1" s="10"/>
      <c r="I1" s="10"/>
      <c r="J1" s="10"/>
      <c r="K1" s="10"/>
    </row>
    <row r="2" spans="1:64" ht="20.25" x14ac:dyDescent="0.2">
      <c r="A2" s="10"/>
      <c r="B2" s="64" t="s">
        <v>35</v>
      </c>
      <c r="C2" s="65"/>
      <c r="D2" s="66"/>
      <c r="E2" s="10"/>
      <c r="F2" s="10"/>
      <c r="G2" s="10"/>
      <c r="H2" s="10"/>
      <c r="I2" s="10"/>
      <c r="J2" s="10"/>
      <c r="K2" s="10"/>
    </row>
    <row r="3" spans="1:64" x14ac:dyDescent="0.2">
      <c r="A3" s="10"/>
      <c r="B3" s="67"/>
      <c r="C3" s="67"/>
      <c r="D3" s="68"/>
      <c r="E3" s="10"/>
      <c r="F3" s="10"/>
      <c r="G3" s="10"/>
      <c r="H3" s="10"/>
      <c r="I3" s="10"/>
      <c r="J3" s="10"/>
      <c r="K3" s="10"/>
    </row>
    <row r="4" spans="1:64" ht="15" x14ac:dyDescent="0.2">
      <c r="A4" s="10"/>
      <c r="B4" s="69"/>
      <c r="C4" s="69"/>
      <c r="D4" s="70"/>
      <c r="E4" s="10"/>
      <c r="F4" s="10"/>
      <c r="G4" s="10"/>
      <c r="H4" s="10"/>
      <c r="I4" s="10"/>
      <c r="J4" s="10"/>
      <c r="K4" s="10"/>
    </row>
    <row r="5" spans="1:64" ht="18" x14ac:dyDescent="0.2">
      <c r="A5" s="10"/>
      <c r="B5" s="55" t="s">
        <v>514</v>
      </c>
      <c r="C5" s="5"/>
      <c r="D5" s="21"/>
      <c r="E5" s="71"/>
      <c r="F5" s="71"/>
      <c r="G5" s="71"/>
      <c r="H5" s="72"/>
      <c r="I5" s="10"/>
      <c r="J5" s="10"/>
      <c r="K5" s="10"/>
    </row>
    <row r="6" spans="1:64" s="75" customFormat="1" x14ac:dyDescent="0.2">
      <c r="A6" s="73"/>
      <c r="B6" s="33"/>
      <c r="C6" s="33"/>
      <c r="D6" s="40"/>
      <c r="E6" s="73"/>
      <c r="F6" s="73"/>
      <c r="G6" s="73"/>
      <c r="H6" s="73"/>
      <c r="I6" s="73"/>
      <c r="J6" s="73"/>
      <c r="K6" s="73"/>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row>
    <row r="7" spans="1:64" s="75" customFormat="1" ht="14.25" x14ac:dyDescent="0.2">
      <c r="A7" s="73"/>
      <c r="B7" s="56" t="s">
        <v>493</v>
      </c>
      <c r="C7" s="57"/>
      <c r="D7" s="58"/>
      <c r="E7" s="76"/>
      <c r="F7" s="76"/>
      <c r="G7" s="76"/>
      <c r="H7" s="76"/>
      <c r="I7" s="73"/>
      <c r="J7" s="73"/>
      <c r="K7" s="73"/>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row>
    <row r="8" spans="1:64" s="8" customFormat="1" ht="26.25" customHeight="1" x14ac:dyDescent="0.2">
      <c r="B8" s="372" t="s">
        <v>301</v>
      </c>
      <c r="C8" s="372"/>
      <c r="D8" s="372"/>
      <c r="E8" s="372"/>
      <c r="F8" s="372"/>
      <c r="G8" s="372"/>
      <c r="H8" s="372"/>
      <c r="I8" s="42"/>
      <c r="J8" s="42"/>
      <c r="K8" s="42"/>
    </row>
    <row r="9" spans="1:64" ht="15" x14ac:dyDescent="0.2">
      <c r="A9" s="10"/>
      <c r="B9" s="73"/>
      <c r="C9" s="81"/>
      <c r="D9" s="81"/>
      <c r="E9" s="10"/>
      <c r="F9" s="10"/>
      <c r="G9" s="10"/>
      <c r="H9" s="10"/>
      <c r="I9" s="10"/>
      <c r="J9" s="10"/>
      <c r="BG9" s="11"/>
    </row>
    <row r="10" spans="1:64" x14ac:dyDescent="0.2">
      <c r="A10" s="10"/>
      <c r="B10" s="82" t="s">
        <v>19</v>
      </c>
      <c r="C10" s="82"/>
      <c r="D10" s="77"/>
      <c r="E10" s="77"/>
      <c r="F10" s="77"/>
      <c r="G10" s="77"/>
      <c r="H10" s="83"/>
      <c r="AR10" s="11"/>
      <c r="AS10" s="11"/>
      <c r="AT10" s="11"/>
      <c r="AU10" s="11"/>
      <c r="AV10" s="11"/>
      <c r="AW10" s="11"/>
      <c r="AX10" s="11"/>
      <c r="AY10" s="11"/>
      <c r="AZ10" s="11"/>
      <c r="BA10" s="11"/>
      <c r="BB10" s="11"/>
      <c r="BC10" s="11"/>
      <c r="BD10" s="11"/>
      <c r="BE10" s="11"/>
      <c r="BF10" s="11"/>
      <c r="BG10" s="11"/>
    </row>
    <row r="11" spans="1:64" ht="15" customHeight="1" x14ac:dyDescent="0.2">
      <c r="A11" s="10"/>
      <c r="B11" s="366" t="s">
        <v>292</v>
      </c>
      <c r="C11" s="366"/>
      <c r="D11" s="366"/>
      <c r="E11" s="366"/>
      <c r="F11" s="366"/>
      <c r="G11" s="366"/>
      <c r="H11" s="366"/>
      <c r="AR11" s="11"/>
      <c r="AS11" s="11"/>
      <c r="AT11" s="11"/>
      <c r="AU11" s="11"/>
      <c r="AV11" s="11"/>
      <c r="AW11" s="11"/>
      <c r="AX11" s="11"/>
      <c r="AY11" s="11"/>
      <c r="AZ11" s="11"/>
      <c r="BA11" s="11"/>
      <c r="BB11" s="11"/>
      <c r="BC11" s="11"/>
      <c r="BD11" s="11"/>
      <c r="BE11" s="11"/>
      <c r="BF11" s="11"/>
      <c r="BG11" s="11"/>
    </row>
    <row r="12" spans="1:64" ht="15" customHeight="1" x14ac:dyDescent="0.2">
      <c r="A12" s="10"/>
      <c r="B12" s="366" t="s">
        <v>779</v>
      </c>
      <c r="C12" s="366"/>
      <c r="D12" s="366"/>
      <c r="E12" s="366"/>
      <c r="F12" s="366"/>
      <c r="G12" s="366"/>
      <c r="H12" s="366"/>
      <c r="AR12" s="11"/>
      <c r="AS12" s="11"/>
      <c r="AT12" s="11"/>
      <c r="AU12" s="11"/>
      <c r="AV12" s="11"/>
      <c r="AW12" s="11"/>
      <c r="AX12" s="11"/>
      <c r="AY12" s="11"/>
      <c r="AZ12" s="11"/>
      <c r="BA12" s="11"/>
      <c r="BB12" s="11"/>
      <c r="BC12" s="11"/>
      <c r="BD12" s="11"/>
      <c r="BE12" s="11"/>
      <c r="BF12" s="11"/>
      <c r="BG12" s="11"/>
    </row>
    <row r="13" spans="1:64" ht="15" customHeight="1" x14ac:dyDescent="0.2">
      <c r="A13" s="10"/>
      <c r="B13" s="366" t="s">
        <v>781</v>
      </c>
      <c r="C13" s="366"/>
      <c r="D13" s="366"/>
      <c r="E13" s="366"/>
      <c r="F13" s="366"/>
      <c r="G13" s="366"/>
      <c r="H13" s="366"/>
      <c r="AR13" s="11"/>
      <c r="AS13" s="11"/>
      <c r="AT13" s="11"/>
      <c r="AU13" s="11"/>
      <c r="AV13" s="11"/>
      <c r="AW13" s="11"/>
      <c r="AX13" s="11"/>
      <c r="AY13" s="11"/>
      <c r="AZ13" s="11"/>
      <c r="BA13" s="11"/>
      <c r="BB13" s="11"/>
      <c r="BC13" s="11"/>
      <c r="BD13" s="11"/>
      <c r="BE13" s="11"/>
      <c r="BF13" s="11"/>
      <c r="BG13" s="11"/>
    </row>
    <row r="14" spans="1:64" ht="15" customHeight="1" x14ac:dyDescent="0.2">
      <c r="A14" s="10"/>
      <c r="B14" s="366" t="s">
        <v>363</v>
      </c>
      <c r="C14" s="366"/>
      <c r="D14" s="366"/>
      <c r="E14" s="366"/>
      <c r="F14" s="366"/>
      <c r="G14" s="366"/>
      <c r="H14" s="366"/>
      <c r="I14" s="10"/>
      <c r="J14" s="10"/>
      <c r="K14" s="10"/>
      <c r="L14" s="10"/>
      <c r="M14" s="10"/>
      <c r="N14" s="10"/>
      <c r="O14" s="10"/>
      <c r="P14" s="10"/>
      <c r="BH14" s="8"/>
      <c r="BI14" s="8"/>
      <c r="BJ14" s="8"/>
      <c r="BK14" s="8"/>
      <c r="BL14" s="8"/>
    </row>
    <row r="15" spans="1:64" s="8" customFormat="1" ht="3" customHeight="1" x14ac:dyDescent="0.2">
      <c r="A15" s="10"/>
      <c r="C15" s="31"/>
      <c r="D15" s="32"/>
      <c r="E15" s="84"/>
      <c r="F15" s="84"/>
      <c r="G15" s="84"/>
      <c r="H15" s="10"/>
      <c r="I15" s="10"/>
      <c r="J15" s="10"/>
      <c r="K15" s="10"/>
    </row>
    <row r="16" spans="1:64" ht="15" x14ac:dyDescent="0.2">
      <c r="A16" s="10"/>
      <c r="B16" s="4" t="s">
        <v>0</v>
      </c>
      <c r="C16" s="4"/>
      <c r="D16" s="12"/>
      <c r="E16" s="12"/>
      <c r="F16" s="12"/>
      <c r="G16" s="12"/>
      <c r="H16" s="13"/>
      <c r="AR16" s="11"/>
      <c r="AS16" s="11"/>
      <c r="AT16" s="11"/>
      <c r="AU16" s="11"/>
      <c r="AV16" s="11"/>
      <c r="AW16" s="11"/>
      <c r="AX16" s="11"/>
      <c r="AY16" s="11"/>
      <c r="AZ16" s="11"/>
      <c r="BA16" s="11"/>
      <c r="BB16" s="11"/>
      <c r="BC16" s="11"/>
      <c r="BD16" s="11"/>
      <c r="BE16" s="11"/>
      <c r="BF16" s="11"/>
      <c r="BG16" s="11"/>
    </row>
    <row r="17" spans="1:59" x14ac:dyDescent="0.2">
      <c r="A17" s="10"/>
      <c r="B17" s="6"/>
      <c r="C17" s="6"/>
      <c r="D17" s="6"/>
      <c r="E17" s="6"/>
      <c r="F17" s="6"/>
      <c r="G17" s="6"/>
      <c r="H17" s="22"/>
      <c r="AR17" s="11"/>
      <c r="AS17" s="11"/>
      <c r="AT17" s="11"/>
      <c r="AU17" s="11"/>
      <c r="AV17" s="11"/>
      <c r="AW17" s="11"/>
      <c r="AX17" s="11"/>
      <c r="AY17" s="11"/>
      <c r="AZ17" s="11"/>
      <c r="BA17" s="11"/>
      <c r="BB17" s="11"/>
      <c r="BC17" s="11"/>
      <c r="BD17" s="11"/>
      <c r="BE17" s="11"/>
      <c r="BF17" s="11"/>
      <c r="BG17" s="11"/>
    </row>
    <row r="18" spans="1:59" ht="15" x14ac:dyDescent="0.2">
      <c r="A18" s="10"/>
      <c r="B18" s="14" t="s">
        <v>2</v>
      </c>
      <c r="C18" s="14"/>
      <c r="D18" s="15" t="s">
        <v>4</v>
      </c>
      <c r="E18" s="16" t="s">
        <v>7</v>
      </c>
      <c r="F18" s="16" t="s">
        <v>3</v>
      </c>
      <c r="G18" s="16" t="s">
        <v>11</v>
      </c>
      <c r="H18" s="15" t="s">
        <v>34</v>
      </c>
      <c r="AR18" s="11"/>
      <c r="AS18" s="11"/>
      <c r="AT18" s="11"/>
      <c r="AU18" s="11"/>
      <c r="AV18" s="11"/>
      <c r="AW18" s="11"/>
      <c r="AX18" s="11"/>
      <c r="AY18" s="11"/>
      <c r="AZ18" s="11"/>
      <c r="BA18" s="11"/>
      <c r="BB18" s="11"/>
      <c r="BC18" s="11"/>
      <c r="BD18" s="11"/>
      <c r="BE18" s="11"/>
      <c r="BF18" s="11"/>
      <c r="BG18" s="11"/>
    </row>
    <row r="19" spans="1:59" x14ac:dyDescent="0.2">
      <c r="A19" s="10"/>
      <c r="B19" s="14"/>
      <c r="C19" s="14"/>
      <c r="D19" s="15"/>
      <c r="E19" s="16"/>
      <c r="F19" s="16"/>
      <c r="G19" s="16"/>
      <c r="H19" s="15"/>
      <c r="AR19" s="11"/>
      <c r="AS19" s="11"/>
      <c r="AT19" s="11"/>
      <c r="AU19" s="11"/>
      <c r="AV19" s="11"/>
      <c r="AW19" s="11"/>
      <c r="AX19" s="11"/>
      <c r="AY19" s="11"/>
      <c r="AZ19" s="11"/>
      <c r="BA19" s="11"/>
      <c r="BB19" s="11"/>
      <c r="BC19" s="11"/>
      <c r="BD19" s="11"/>
      <c r="BE19" s="11"/>
      <c r="BF19" s="11"/>
      <c r="BG19" s="11"/>
    </row>
    <row r="20" spans="1:59" s="8" customFormat="1" ht="15" x14ac:dyDescent="0.2">
      <c r="B20" s="332" t="s">
        <v>25</v>
      </c>
      <c r="C20" s="34"/>
      <c r="D20" s="22" t="s">
        <v>30</v>
      </c>
      <c r="E20" s="278">
        <v>1700</v>
      </c>
      <c r="F20" s="19" t="s">
        <v>169</v>
      </c>
      <c r="G20" s="7" t="s">
        <v>13</v>
      </c>
      <c r="H20" s="107"/>
    </row>
    <row r="21" spans="1:59" x14ac:dyDescent="0.2">
      <c r="A21" s="10"/>
      <c r="B21" s="14"/>
      <c r="C21" s="14"/>
      <c r="D21" s="15"/>
      <c r="E21" s="275"/>
      <c r="F21" s="16"/>
      <c r="G21" s="16"/>
      <c r="H21" s="15"/>
      <c r="AR21" s="11"/>
      <c r="AS21" s="11"/>
      <c r="AT21" s="11"/>
      <c r="AU21" s="11"/>
      <c r="AV21" s="11"/>
      <c r="AW21" s="11"/>
      <c r="AX21" s="11"/>
      <c r="AY21" s="11"/>
      <c r="AZ21" s="11"/>
      <c r="BA21" s="11"/>
      <c r="BB21" s="11"/>
      <c r="BC21" s="11"/>
      <c r="BD21" s="11"/>
      <c r="BE21" s="11"/>
      <c r="BF21" s="11"/>
      <c r="BG21" s="11"/>
    </row>
    <row r="22" spans="1:59" x14ac:dyDescent="0.2">
      <c r="A22" s="10"/>
      <c r="B22" s="121" t="s">
        <v>649</v>
      </c>
      <c r="C22" s="14"/>
      <c r="D22" s="15"/>
      <c r="E22" s="275"/>
      <c r="F22" s="16"/>
      <c r="G22" s="16"/>
      <c r="H22" s="15"/>
      <c r="AR22" s="11"/>
      <c r="AS22" s="11"/>
      <c r="AT22" s="11"/>
      <c r="AU22" s="11"/>
      <c r="AV22" s="11"/>
      <c r="AW22" s="11"/>
      <c r="AX22" s="11"/>
      <c r="AY22" s="11"/>
      <c r="AZ22" s="11"/>
      <c r="BA22" s="11"/>
      <c r="BB22" s="11"/>
      <c r="BC22" s="11"/>
      <c r="BD22" s="11"/>
      <c r="BE22" s="11"/>
      <c r="BF22" s="11"/>
      <c r="BG22" s="11"/>
    </row>
    <row r="23" spans="1:59" ht="5.0999999999999996" customHeight="1" x14ac:dyDescent="0.2">
      <c r="A23" s="10"/>
      <c r="B23" s="22"/>
      <c r="C23" s="14"/>
      <c r="D23" s="15"/>
      <c r="E23" s="275"/>
      <c r="F23" s="16"/>
      <c r="G23" s="16"/>
      <c r="H23" s="15"/>
      <c r="AR23" s="11"/>
      <c r="AS23" s="11"/>
      <c r="AT23" s="11"/>
      <c r="AU23" s="11"/>
      <c r="AV23" s="11"/>
      <c r="AW23" s="11"/>
      <c r="AX23" s="11"/>
      <c r="AY23" s="11"/>
      <c r="AZ23" s="11"/>
      <c r="BA23" s="11"/>
      <c r="BB23" s="11"/>
      <c r="BC23" s="11"/>
      <c r="BD23" s="11"/>
      <c r="BE23" s="11"/>
      <c r="BF23" s="11"/>
      <c r="BG23" s="11"/>
    </row>
    <row r="24" spans="1:59" ht="15" x14ac:dyDescent="0.2">
      <c r="A24" s="10"/>
      <c r="B24" s="332" t="s">
        <v>279</v>
      </c>
      <c r="C24" s="14"/>
      <c r="D24" s="30" t="s">
        <v>153</v>
      </c>
      <c r="E24" s="272">
        <v>125</v>
      </c>
      <c r="F24" s="7" t="s">
        <v>29</v>
      </c>
      <c r="G24" s="7" t="s">
        <v>13</v>
      </c>
      <c r="H24" s="15"/>
      <c r="AR24" s="11"/>
      <c r="AS24" s="11"/>
      <c r="AT24" s="11"/>
      <c r="AU24" s="11"/>
      <c r="AV24" s="11"/>
      <c r="AW24" s="11"/>
      <c r="AX24" s="11"/>
      <c r="AY24" s="11"/>
      <c r="AZ24" s="11"/>
      <c r="BA24" s="11"/>
      <c r="BB24" s="11"/>
      <c r="BC24" s="11"/>
      <c r="BD24" s="11"/>
      <c r="BE24" s="11"/>
      <c r="BF24" s="11"/>
      <c r="BG24" s="11"/>
    </row>
    <row r="25" spans="1:59" s="8" customFormat="1" ht="5.0999999999999996" customHeight="1" x14ac:dyDescent="0.2">
      <c r="B25" s="332"/>
      <c r="C25" s="34"/>
      <c r="D25" s="22"/>
      <c r="E25" s="277"/>
      <c r="F25" s="7"/>
      <c r="G25" s="7"/>
      <c r="H25" s="107"/>
    </row>
    <row r="26" spans="1:59" ht="15" x14ac:dyDescent="0.2">
      <c r="A26" s="10"/>
      <c r="B26" s="332" t="s">
        <v>281</v>
      </c>
      <c r="C26" s="14"/>
      <c r="D26" s="30" t="s">
        <v>155</v>
      </c>
      <c r="E26" s="274"/>
      <c r="F26" s="7" t="s">
        <v>156</v>
      </c>
      <c r="G26" s="7" t="s">
        <v>6</v>
      </c>
      <c r="H26" s="15"/>
      <c r="AR26" s="11"/>
      <c r="AS26" s="11"/>
      <c r="AT26" s="11"/>
      <c r="AU26" s="11"/>
      <c r="AV26" s="11"/>
      <c r="AW26" s="11"/>
      <c r="AX26" s="11"/>
      <c r="AY26" s="11"/>
      <c r="AZ26" s="11"/>
      <c r="BA26" s="11"/>
      <c r="BB26" s="11"/>
      <c r="BC26" s="11"/>
      <c r="BD26" s="11"/>
      <c r="BE26" s="11"/>
      <c r="BF26" s="11"/>
      <c r="BG26" s="11"/>
    </row>
    <row r="27" spans="1:59" ht="5.0999999999999996" customHeight="1" x14ac:dyDescent="0.2">
      <c r="A27" s="10"/>
      <c r="B27" s="332"/>
      <c r="C27" s="14"/>
      <c r="D27" s="15"/>
      <c r="E27" s="275"/>
      <c r="F27" s="7"/>
      <c r="G27" s="7"/>
      <c r="H27" s="15"/>
      <c r="AR27" s="11"/>
      <c r="AS27" s="11"/>
      <c r="AT27" s="11"/>
      <c r="AU27" s="11"/>
      <c r="AV27" s="11"/>
      <c r="AW27" s="11"/>
      <c r="AX27" s="11"/>
      <c r="AY27" s="11"/>
      <c r="AZ27" s="11"/>
      <c r="BA27" s="11"/>
      <c r="BB27" s="11"/>
      <c r="BC27" s="11"/>
      <c r="BD27" s="11"/>
      <c r="BE27" s="11"/>
      <c r="BF27" s="11"/>
      <c r="BG27" s="11"/>
    </row>
    <row r="28" spans="1:59" s="8" customFormat="1" ht="14.25" x14ac:dyDescent="0.2">
      <c r="B28" s="332" t="s">
        <v>286</v>
      </c>
      <c r="C28" s="34"/>
      <c r="D28" s="332" t="s">
        <v>158</v>
      </c>
      <c r="E28" s="274"/>
      <c r="F28" s="7" t="s">
        <v>5</v>
      </c>
      <c r="G28" s="7" t="s">
        <v>6</v>
      </c>
      <c r="H28" s="34"/>
    </row>
    <row r="29" spans="1:59" s="8" customFormat="1" ht="5.0999999999999996" customHeight="1" x14ac:dyDescent="0.2">
      <c r="B29" s="332"/>
      <c r="C29" s="34"/>
      <c r="D29" s="22"/>
      <c r="E29" s="273"/>
      <c r="F29" s="19"/>
      <c r="G29" s="7"/>
      <c r="H29" s="34"/>
    </row>
    <row r="30" spans="1:59" s="8" customFormat="1" ht="15" x14ac:dyDescent="0.2">
      <c r="B30" s="332" t="s">
        <v>159</v>
      </c>
      <c r="C30" s="34"/>
      <c r="D30" s="22" t="s">
        <v>160</v>
      </c>
      <c r="E30" s="274"/>
      <c r="F30" s="7" t="s">
        <v>287</v>
      </c>
      <c r="G30" s="7" t="s">
        <v>6</v>
      </c>
      <c r="H30" s="92"/>
    </row>
    <row r="31" spans="1:59" s="8" customFormat="1" ht="5.0999999999999996" customHeight="1" x14ac:dyDescent="0.2">
      <c r="B31" s="332"/>
      <c r="C31" s="332"/>
      <c r="D31" s="30"/>
      <c r="E31" s="273"/>
      <c r="F31" s="7"/>
      <c r="G31" s="7"/>
      <c r="H31" s="7"/>
    </row>
    <row r="32" spans="1:59" s="8" customFormat="1" ht="14.25" x14ac:dyDescent="0.2">
      <c r="B32" s="332" t="s">
        <v>386</v>
      </c>
      <c r="C32" s="34"/>
      <c r="D32" s="332" t="s">
        <v>62</v>
      </c>
      <c r="E32" s="272">
        <v>0.1</v>
      </c>
      <c r="F32" s="19" t="s">
        <v>5</v>
      </c>
      <c r="G32" s="7" t="s">
        <v>13</v>
      </c>
      <c r="H32" s="34"/>
    </row>
    <row r="33" spans="1:59" s="8" customFormat="1" ht="5.0999999999999996" customHeight="1" x14ac:dyDescent="0.2">
      <c r="B33" s="332"/>
      <c r="C33" s="34"/>
      <c r="D33" s="332"/>
      <c r="E33" s="272"/>
      <c r="F33" s="19"/>
      <c r="G33" s="7"/>
      <c r="H33" s="34"/>
    </row>
    <row r="34" spans="1:59" s="8" customFormat="1" ht="14.25" x14ac:dyDescent="0.2">
      <c r="B34" s="332" t="s">
        <v>387</v>
      </c>
      <c r="C34" s="34"/>
      <c r="D34" s="332" t="s">
        <v>82</v>
      </c>
      <c r="E34" s="272">
        <v>0.2</v>
      </c>
      <c r="F34" s="19" t="s">
        <v>5</v>
      </c>
      <c r="G34" s="7" t="s">
        <v>13</v>
      </c>
      <c r="H34" s="34"/>
    </row>
    <row r="35" spans="1:59" s="8" customFormat="1" ht="5.0999999999999996" customHeight="1" x14ac:dyDescent="0.2">
      <c r="B35" s="332"/>
      <c r="C35" s="34"/>
      <c r="D35" s="332"/>
      <c r="E35" s="272"/>
      <c r="F35" s="19"/>
      <c r="G35" s="7"/>
      <c r="H35" s="34"/>
    </row>
    <row r="36" spans="1:59" s="8" customFormat="1" ht="25.5" customHeight="1" x14ac:dyDescent="0.2">
      <c r="B36" s="332" t="s">
        <v>903</v>
      </c>
      <c r="C36" s="34"/>
      <c r="D36" s="332" t="s">
        <v>388</v>
      </c>
      <c r="E36" s="272">
        <v>0.33</v>
      </c>
      <c r="F36" s="19" t="s">
        <v>5</v>
      </c>
      <c r="G36" s="7" t="s">
        <v>13</v>
      </c>
      <c r="H36" s="34"/>
    </row>
    <row r="37" spans="1:59" s="8" customFormat="1" ht="5.0999999999999996" customHeight="1" x14ac:dyDescent="0.2">
      <c r="B37" s="332"/>
      <c r="C37" s="34"/>
      <c r="D37" s="332"/>
      <c r="E37" s="272"/>
      <c r="F37" s="19"/>
      <c r="G37" s="7"/>
      <c r="H37" s="34"/>
    </row>
    <row r="38" spans="1:59" s="8" customFormat="1" ht="28.5" x14ac:dyDescent="0.2">
      <c r="B38" s="332" t="s">
        <v>477</v>
      </c>
      <c r="C38" s="34"/>
      <c r="D38" s="332" t="s">
        <v>476</v>
      </c>
      <c r="E38" s="272">
        <v>13</v>
      </c>
      <c r="F38" s="19" t="s">
        <v>285</v>
      </c>
      <c r="G38" s="7" t="s">
        <v>13</v>
      </c>
      <c r="H38" s="92"/>
    </row>
    <row r="39" spans="1:59" s="8" customFormat="1" ht="5.0999999999999996" customHeight="1" x14ac:dyDescent="0.2">
      <c r="B39" s="332"/>
      <c r="C39" s="34"/>
      <c r="D39" s="22"/>
      <c r="E39" s="273"/>
      <c r="F39" s="19"/>
      <c r="G39" s="7"/>
      <c r="H39" s="34"/>
    </row>
    <row r="40" spans="1:59" s="8" customFormat="1" ht="15" x14ac:dyDescent="0.2">
      <c r="B40" s="332" t="s">
        <v>389</v>
      </c>
      <c r="C40" s="34"/>
      <c r="D40" s="332" t="s">
        <v>390</v>
      </c>
      <c r="E40" s="272">
        <v>15</v>
      </c>
      <c r="F40" s="19" t="s">
        <v>285</v>
      </c>
      <c r="G40" s="7" t="s">
        <v>13</v>
      </c>
      <c r="H40" s="92"/>
    </row>
    <row r="41" spans="1:59" s="8" customFormat="1" x14ac:dyDescent="0.2">
      <c r="B41" s="332"/>
      <c r="C41" s="34"/>
      <c r="D41" s="22"/>
      <c r="E41" s="278"/>
      <c r="F41" s="7"/>
      <c r="G41" s="7"/>
      <c r="H41" s="107"/>
    </row>
    <row r="42" spans="1:59" s="8" customFormat="1" x14ac:dyDescent="0.2">
      <c r="B42" s="121" t="s">
        <v>650</v>
      </c>
      <c r="C42" s="34"/>
      <c r="D42" s="22"/>
      <c r="E42" s="278"/>
      <c r="F42" s="7"/>
      <c r="G42" s="7"/>
      <c r="H42" s="107"/>
    </row>
    <row r="43" spans="1:59" ht="5.0999999999999996" customHeight="1" x14ac:dyDescent="0.2">
      <c r="A43" s="10"/>
      <c r="B43" s="332"/>
      <c r="C43" s="14"/>
      <c r="D43" s="15"/>
      <c r="E43" s="275"/>
      <c r="F43" s="16"/>
      <c r="G43" s="16"/>
      <c r="H43" s="15"/>
      <c r="AR43" s="11"/>
      <c r="AS43" s="11"/>
      <c r="AT43" s="11"/>
      <c r="AU43" s="11"/>
      <c r="AV43" s="11"/>
      <c r="AW43" s="11"/>
      <c r="AX43" s="11"/>
      <c r="AY43" s="11"/>
      <c r="AZ43" s="11"/>
      <c r="BA43" s="11"/>
      <c r="BB43" s="11"/>
      <c r="BC43" s="11"/>
      <c r="BD43" s="11"/>
      <c r="BE43" s="11"/>
      <c r="BF43" s="11"/>
      <c r="BG43" s="11"/>
    </row>
    <row r="44" spans="1:59" ht="15" x14ac:dyDescent="0.2">
      <c r="A44" s="10"/>
      <c r="B44" s="332" t="s">
        <v>668</v>
      </c>
      <c r="C44" s="14"/>
      <c r="D44" s="30" t="s">
        <v>669</v>
      </c>
      <c r="E44" s="272">
        <v>125</v>
      </c>
      <c r="F44" s="7" t="s">
        <v>14</v>
      </c>
      <c r="G44" s="7" t="s">
        <v>13</v>
      </c>
      <c r="H44" s="15"/>
      <c r="AR44" s="11"/>
      <c r="AS44" s="11"/>
      <c r="AT44" s="11"/>
      <c r="AU44" s="11"/>
      <c r="AV44" s="11"/>
      <c r="AW44" s="11"/>
      <c r="AX44" s="11"/>
      <c r="AY44" s="11"/>
      <c r="AZ44" s="11"/>
      <c r="BA44" s="11"/>
      <c r="BB44" s="11"/>
      <c r="BC44" s="11"/>
      <c r="BD44" s="11"/>
      <c r="BE44" s="11"/>
      <c r="BF44" s="11"/>
      <c r="BG44" s="11"/>
    </row>
    <row r="45" spans="1:59" s="8" customFormat="1" ht="5.0999999999999996" customHeight="1" x14ac:dyDescent="0.2">
      <c r="B45" s="332"/>
      <c r="C45" s="34"/>
      <c r="D45" s="22"/>
      <c r="E45" s="277"/>
      <c r="F45" s="7"/>
      <c r="G45" s="7"/>
      <c r="H45" s="107"/>
    </row>
    <row r="46" spans="1:59" s="8" customFormat="1" x14ac:dyDescent="0.2">
      <c r="B46" s="332" t="s">
        <v>72</v>
      </c>
      <c r="C46" s="34"/>
      <c r="D46" s="332" t="s">
        <v>73</v>
      </c>
      <c r="E46" s="273">
        <v>30</v>
      </c>
      <c r="F46" s="7" t="s">
        <v>10</v>
      </c>
      <c r="G46" s="7" t="s">
        <v>13</v>
      </c>
      <c r="H46" s="34"/>
    </row>
    <row r="47" spans="1:59" s="8" customFormat="1" ht="3" customHeight="1" x14ac:dyDescent="0.2">
      <c r="B47" s="332"/>
      <c r="C47" s="34"/>
      <c r="D47" s="332"/>
      <c r="E47" s="273"/>
      <c r="F47" s="7"/>
      <c r="G47" s="7"/>
      <c r="H47" s="34"/>
    </row>
    <row r="48" spans="1:59" s="8" customFormat="1" ht="40.5" x14ac:dyDescent="0.2">
      <c r="B48" s="362" t="s">
        <v>721</v>
      </c>
      <c r="C48" s="362"/>
      <c r="D48" s="332" t="s">
        <v>75</v>
      </c>
      <c r="E48" s="273">
        <v>365</v>
      </c>
      <c r="F48" s="7" t="s">
        <v>10</v>
      </c>
      <c r="G48" s="7" t="s">
        <v>13</v>
      </c>
      <c r="H48" s="146" t="s">
        <v>966</v>
      </c>
    </row>
    <row r="49" spans="2:8" s="8" customFormat="1" ht="5.0999999999999996" customHeight="1" x14ac:dyDescent="0.2">
      <c r="B49" s="332"/>
      <c r="C49" s="34"/>
      <c r="D49" s="22"/>
      <c r="E49" s="273"/>
      <c r="F49" s="19"/>
      <c r="G49" s="7"/>
      <c r="H49" s="34"/>
    </row>
    <row r="50" spans="2:8" s="8" customFormat="1" x14ac:dyDescent="0.2">
      <c r="B50" s="332" t="s">
        <v>74</v>
      </c>
      <c r="C50" s="34"/>
      <c r="D50" s="22" t="s">
        <v>676</v>
      </c>
      <c r="E50" s="273">
        <v>1825</v>
      </c>
      <c r="F50" s="19" t="s">
        <v>10</v>
      </c>
      <c r="G50" s="7" t="s">
        <v>13</v>
      </c>
      <c r="H50" s="92" t="s">
        <v>635</v>
      </c>
    </row>
    <row r="51" spans="2:8" s="8" customFormat="1" ht="5.0999999999999996" customHeight="1" x14ac:dyDescent="0.2">
      <c r="B51" s="332"/>
      <c r="C51" s="332"/>
      <c r="D51" s="30"/>
      <c r="E51" s="273"/>
      <c r="F51" s="7"/>
      <c r="G51" s="7"/>
      <c r="H51" s="7"/>
    </row>
    <row r="52" spans="2:8" s="8" customFormat="1" ht="30" customHeight="1" x14ac:dyDescent="0.2">
      <c r="B52" s="332" t="s">
        <v>193</v>
      </c>
      <c r="C52" s="34"/>
      <c r="D52" s="332" t="s">
        <v>194</v>
      </c>
      <c r="E52" s="274"/>
      <c r="F52" s="19" t="s">
        <v>813</v>
      </c>
      <c r="G52" s="19" t="s">
        <v>6</v>
      </c>
      <c r="H52" s="34"/>
    </row>
    <row r="53" spans="2:8" s="8" customFormat="1" ht="5.0999999999999996" customHeight="1" x14ac:dyDescent="0.2">
      <c r="B53" s="332"/>
      <c r="C53" s="34"/>
      <c r="D53" s="22"/>
      <c r="E53" s="273"/>
      <c r="F53" s="19"/>
      <c r="G53" s="19"/>
      <c r="H53" s="34"/>
    </row>
    <row r="54" spans="2:8" s="8" customFormat="1" ht="27.75" customHeight="1" x14ac:dyDescent="0.2">
      <c r="B54" s="332" t="s">
        <v>683</v>
      </c>
      <c r="C54" s="34"/>
      <c r="D54" s="332" t="s">
        <v>196</v>
      </c>
      <c r="E54" s="274"/>
      <c r="F54" s="19" t="s">
        <v>813</v>
      </c>
      <c r="G54" s="19" t="s">
        <v>6</v>
      </c>
      <c r="H54" s="92"/>
    </row>
    <row r="55" spans="2:8" s="8" customFormat="1" ht="5.0999999999999996" customHeight="1" x14ac:dyDescent="0.2">
      <c r="B55" s="332"/>
      <c r="C55" s="34"/>
      <c r="D55" s="22"/>
      <c r="E55" s="273"/>
      <c r="F55" s="19"/>
      <c r="G55" s="19"/>
      <c r="H55" s="34"/>
    </row>
    <row r="56" spans="2:8" s="8" customFormat="1" ht="27.75" customHeight="1" x14ac:dyDescent="0.2">
      <c r="B56" s="332" t="s">
        <v>195</v>
      </c>
      <c r="C56" s="34"/>
      <c r="D56" s="332" t="s">
        <v>684</v>
      </c>
      <c r="E56" s="274"/>
      <c r="F56" s="19" t="s">
        <v>813</v>
      </c>
      <c r="G56" s="19" t="s">
        <v>6</v>
      </c>
      <c r="H56" s="92"/>
    </row>
    <row r="57" spans="2:8" s="8" customFormat="1" ht="5.0999999999999996" customHeight="1" x14ac:dyDescent="0.2">
      <c r="B57" s="332"/>
      <c r="C57" s="34"/>
      <c r="D57" s="22"/>
      <c r="E57" s="273"/>
      <c r="F57" s="19"/>
      <c r="G57" s="19"/>
      <c r="H57" s="34"/>
    </row>
    <row r="58" spans="2:8" s="8" customFormat="1" ht="15" x14ac:dyDescent="0.2">
      <c r="B58" s="332" t="s">
        <v>283</v>
      </c>
      <c r="C58" s="34"/>
      <c r="D58" s="22" t="s">
        <v>23</v>
      </c>
      <c r="E58" s="278">
        <v>13</v>
      </c>
      <c r="F58" s="7" t="s">
        <v>24</v>
      </c>
      <c r="G58" s="7" t="s">
        <v>13</v>
      </c>
      <c r="H58" s="92"/>
    </row>
    <row r="59" spans="2:8" s="8" customFormat="1" x14ac:dyDescent="0.2">
      <c r="B59" s="332"/>
      <c r="C59" s="34"/>
      <c r="D59" s="22"/>
      <c r="E59" s="278"/>
      <c r="F59" s="7"/>
      <c r="G59" s="7"/>
      <c r="H59" s="92"/>
    </row>
    <row r="60" spans="2:8" s="8" customFormat="1" ht="12.75" customHeight="1" x14ac:dyDescent="0.2">
      <c r="B60" s="365" t="s">
        <v>558</v>
      </c>
      <c r="C60" s="365"/>
      <c r="D60" s="365"/>
      <c r="E60" s="365"/>
      <c r="F60" s="365"/>
      <c r="G60" s="365"/>
      <c r="H60" s="365"/>
    </row>
    <row r="61" spans="2:8" s="8" customFormat="1" x14ac:dyDescent="0.2">
      <c r="B61" s="332"/>
      <c r="C61" s="34"/>
      <c r="D61" s="22"/>
      <c r="E61" s="278"/>
      <c r="F61" s="7"/>
      <c r="G61" s="7"/>
      <c r="H61" s="92"/>
    </row>
    <row r="62" spans="2:8" s="8" customFormat="1" ht="15" x14ac:dyDescent="0.2">
      <c r="B62" s="362" t="s">
        <v>448</v>
      </c>
      <c r="C62" s="362"/>
      <c r="D62" s="22" t="s">
        <v>449</v>
      </c>
      <c r="E62" s="274"/>
      <c r="F62" s="19" t="s">
        <v>483</v>
      </c>
      <c r="G62" s="7" t="s">
        <v>13</v>
      </c>
      <c r="H62" s="92"/>
    </row>
    <row r="63" spans="2:8" s="8" customFormat="1" ht="3" customHeight="1" x14ac:dyDescent="0.2">
      <c r="B63" s="332"/>
      <c r="C63" s="34"/>
      <c r="D63" s="22"/>
      <c r="E63" s="273"/>
      <c r="F63" s="19"/>
      <c r="G63" s="7"/>
      <c r="H63" s="92"/>
    </row>
    <row r="64" spans="2:8" s="8" customFormat="1" ht="15" x14ac:dyDescent="0.2">
      <c r="B64" s="362" t="s">
        <v>442</v>
      </c>
      <c r="C64" s="362"/>
      <c r="D64" s="22" t="s">
        <v>653</v>
      </c>
      <c r="E64" s="326"/>
      <c r="F64" s="19" t="s">
        <v>443</v>
      </c>
      <c r="G64" s="7" t="s">
        <v>13</v>
      </c>
      <c r="H64" s="92"/>
    </row>
    <row r="65" spans="1:59" s="8" customFormat="1" x14ac:dyDescent="0.2">
      <c r="B65" s="332"/>
      <c r="C65" s="34"/>
      <c r="D65" s="22"/>
      <c r="E65" s="7"/>
      <c r="F65" s="19"/>
      <c r="G65" s="7"/>
      <c r="H65" s="34"/>
    </row>
    <row r="66" spans="1:59" ht="15" x14ac:dyDescent="0.2">
      <c r="A66" s="10"/>
      <c r="B66" s="4" t="s">
        <v>1</v>
      </c>
      <c r="C66" s="4"/>
      <c r="D66" s="4"/>
      <c r="E66" s="12"/>
      <c r="F66" s="12"/>
      <c r="G66" s="12"/>
      <c r="H66" s="12"/>
      <c r="AS66" s="11"/>
      <c r="AT66" s="11"/>
      <c r="AU66" s="11"/>
      <c r="AV66" s="11"/>
      <c r="AW66" s="11"/>
      <c r="AX66" s="11"/>
      <c r="AY66" s="11"/>
      <c r="AZ66" s="11"/>
      <c r="BA66" s="11"/>
      <c r="BB66" s="11"/>
      <c r="BC66" s="11"/>
      <c r="BD66" s="11"/>
      <c r="BE66" s="11"/>
      <c r="BF66" s="11"/>
      <c r="BG66" s="11"/>
    </row>
    <row r="67" spans="1:59" x14ac:dyDescent="0.2">
      <c r="A67" s="10"/>
      <c r="B67" s="6"/>
      <c r="C67" s="6"/>
      <c r="D67" s="6"/>
      <c r="E67" s="6"/>
      <c r="F67" s="6"/>
      <c r="G67" s="6"/>
      <c r="H67" s="6"/>
      <c r="AS67" s="11"/>
      <c r="AT67" s="11"/>
      <c r="AU67" s="11"/>
      <c r="AV67" s="11"/>
      <c r="AW67" s="11"/>
      <c r="AX67" s="11"/>
      <c r="AY67" s="11"/>
      <c r="AZ67" s="11"/>
      <c r="BA67" s="11"/>
      <c r="BB67" s="11"/>
      <c r="BC67" s="11"/>
      <c r="BD67" s="11"/>
      <c r="BE67" s="11"/>
      <c r="BF67" s="11"/>
      <c r="BG67" s="11"/>
    </row>
    <row r="68" spans="1:59" ht="15" x14ac:dyDescent="0.2">
      <c r="A68" s="10"/>
      <c r="B68" s="14" t="s">
        <v>2</v>
      </c>
      <c r="C68" s="14"/>
      <c r="D68" s="15" t="s">
        <v>4</v>
      </c>
      <c r="E68" s="16" t="s">
        <v>7</v>
      </c>
      <c r="F68" s="16" t="s">
        <v>3</v>
      </c>
      <c r="G68" s="16" t="s">
        <v>11</v>
      </c>
      <c r="H68" s="15" t="s">
        <v>34</v>
      </c>
      <c r="AS68" s="11"/>
      <c r="AT68" s="11"/>
      <c r="AU68" s="11"/>
      <c r="AV68" s="11"/>
      <c r="AW68" s="11"/>
      <c r="AX68" s="11"/>
      <c r="AY68" s="11"/>
      <c r="AZ68" s="11"/>
      <c r="BA68" s="11"/>
      <c r="BB68" s="11"/>
      <c r="BC68" s="11"/>
      <c r="BD68" s="11"/>
      <c r="BE68" s="11"/>
      <c r="BF68" s="11"/>
      <c r="BG68" s="11"/>
    </row>
    <row r="69" spans="1:59" x14ac:dyDescent="0.2">
      <c r="A69" s="10"/>
      <c r="B69" s="14"/>
      <c r="C69" s="14"/>
      <c r="D69" s="15"/>
      <c r="E69" s="16"/>
      <c r="F69" s="16"/>
      <c r="G69" s="16"/>
      <c r="H69" s="15"/>
      <c r="AS69" s="11"/>
      <c r="AT69" s="11"/>
      <c r="AU69" s="11"/>
      <c r="AV69" s="11"/>
      <c r="AW69" s="11"/>
      <c r="AX69" s="11"/>
      <c r="AY69" s="11"/>
      <c r="AZ69" s="11"/>
      <c r="BA69" s="11"/>
      <c r="BB69" s="11"/>
      <c r="BC69" s="11"/>
      <c r="BD69" s="11"/>
      <c r="BE69" s="11"/>
      <c r="BF69" s="11"/>
      <c r="BG69" s="11"/>
    </row>
    <row r="70" spans="1:59" x14ac:dyDescent="0.2">
      <c r="A70" s="10"/>
      <c r="B70" s="121" t="s">
        <v>925</v>
      </c>
      <c r="C70" s="14"/>
      <c r="D70" s="15"/>
      <c r="E70" s="16"/>
      <c r="F70" s="16"/>
      <c r="G70" s="16"/>
      <c r="H70" s="15"/>
      <c r="AR70" s="11"/>
      <c r="AS70" s="11"/>
      <c r="AT70" s="11"/>
      <c r="AU70" s="11"/>
      <c r="AV70" s="11"/>
      <c r="AW70" s="11"/>
      <c r="AX70" s="11"/>
      <c r="AY70" s="11"/>
      <c r="AZ70" s="11"/>
      <c r="BA70" s="11"/>
      <c r="BB70" s="11"/>
      <c r="BC70" s="11"/>
      <c r="BD70" s="11"/>
      <c r="BE70" s="11"/>
      <c r="BF70" s="11"/>
      <c r="BG70" s="11"/>
    </row>
    <row r="71" spans="1:59" x14ac:dyDescent="0.2">
      <c r="A71" s="10"/>
      <c r="B71" s="14"/>
      <c r="C71" s="14"/>
      <c r="D71" s="15"/>
      <c r="E71" s="16"/>
      <c r="F71" s="16"/>
      <c r="G71" s="16"/>
      <c r="H71" s="15"/>
      <c r="AS71" s="11"/>
      <c r="AT71" s="11"/>
      <c r="AU71" s="11"/>
      <c r="AV71" s="11"/>
      <c r="AW71" s="11"/>
      <c r="AX71" s="11"/>
      <c r="AY71" s="11"/>
      <c r="AZ71" s="11"/>
      <c r="BA71" s="11"/>
      <c r="BB71" s="11"/>
      <c r="BC71" s="11"/>
      <c r="BD71" s="11"/>
      <c r="BE71" s="11"/>
      <c r="BF71" s="11"/>
      <c r="BG71" s="11"/>
    </row>
    <row r="72" spans="1:59" s="8" customFormat="1" ht="15" x14ac:dyDescent="0.2">
      <c r="A72" s="10"/>
      <c r="B72" s="389" t="s">
        <v>391</v>
      </c>
      <c r="C72" s="389"/>
      <c r="D72" s="30" t="s">
        <v>398</v>
      </c>
      <c r="E72" s="228" t="str">
        <f>IF(AND(ISNUMBER(Qapplic_product),ISNUMBER(fai),ISNUMBER(RHOproduct)),AREAhouse*Qapplic_product*fai*RHOproduct*Frunoff*1000,"??")</f>
        <v>??</v>
      </c>
      <c r="F72" s="19" t="s">
        <v>814</v>
      </c>
      <c r="G72" s="19" t="s">
        <v>8</v>
      </c>
      <c r="H72" s="308" t="s">
        <v>859</v>
      </c>
    </row>
    <row r="73" spans="1:59" s="8" customFormat="1" ht="3" customHeight="1" x14ac:dyDescent="0.2">
      <c r="A73" s="10"/>
      <c r="B73" s="335"/>
      <c r="C73" s="335"/>
      <c r="D73" s="30"/>
      <c r="E73" s="338"/>
      <c r="F73" s="19"/>
      <c r="G73" s="19"/>
      <c r="H73" s="41"/>
    </row>
    <row r="74" spans="1:59" s="8" customFormat="1" ht="29.25" customHeight="1" x14ac:dyDescent="0.2">
      <c r="A74" s="10"/>
      <c r="B74" s="389" t="s">
        <v>392</v>
      </c>
      <c r="C74" s="389"/>
      <c r="D74" s="30" t="s">
        <v>399</v>
      </c>
      <c r="E74" s="228" t="str">
        <f>IF(AND(ISNUMBER(Qapplic_product),ISNUMBER(fai),ISNUMBER(RHOproduct)),AREAhouse*Qapplic_product*fai*RHOproduct*Fdrift*1000,"??")</f>
        <v>??</v>
      </c>
      <c r="F74" s="19" t="s">
        <v>814</v>
      </c>
      <c r="G74" s="19" t="s">
        <v>8</v>
      </c>
      <c r="H74" s="308" t="s">
        <v>860</v>
      </c>
    </row>
    <row r="75" spans="1:59" s="8" customFormat="1" ht="3" customHeight="1" x14ac:dyDescent="0.2">
      <c r="A75" s="10"/>
      <c r="B75" s="335"/>
      <c r="C75" s="335"/>
      <c r="D75" s="30"/>
      <c r="E75" s="338"/>
      <c r="F75" s="19"/>
      <c r="G75" s="19"/>
      <c r="H75" s="41"/>
    </row>
    <row r="76" spans="1:59" s="8" customFormat="1" ht="28.5" customHeight="1" x14ac:dyDescent="0.2">
      <c r="A76" s="10"/>
      <c r="B76" s="389" t="s">
        <v>393</v>
      </c>
      <c r="C76" s="389"/>
      <c r="D76" s="30" t="s">
        <v>400</v>
      </c>
      <c r="E76" s="228" t="str">
        <f>IF(AND(ISNUMBER(Qapplic_product),ISNUMBER(fai),ISNUMBER(RHOproduct)),AREAhouse*Qapplic_product*fai*RHOproduct*Fdrift*1000*Fdep,"??")</f>
        <v>??</v>
      </c>
      <c r="F76" s="19" t="s">
        <v>814</v>
      </c>
      <c r="G76" s="19" t="s">
        <v>8</v>
      </c>
      <c r="H76" s="308" t="s">
        <v>861</v>
      </c>
    </row>
    <row r="77" spans="1:59" s="8" customFormat="1" x14ac:dyDescent="0.2">
      <c r="A77" s="10"/>
      <c r="B77" s="335"/>
      <c r="C77" s="335"/>
      <c r="D77" s="30"/>
      <c r="E77" s="30"/>
      <c r="F77" s="19"/>
      <c r="G77" s="19"/>
      <c r="H77" s="308"/>
    </row>
    <row r="78" spans="1:59" s="8" customFormat="1" x14ac:dyDescent="0.2">
      <c r="B78" s="121" t="s">
        <v>926</v>
      </c>
      <c r="C78" s="34"/>
      <c r="D78" s="22"/>
      <c r="E78" s="127"/>
      <c r="F78" s="19"/>
      <c r="G78" s="19"/>
      <c r="H78" s="146"/>
    </row>
    <row r="79" spans="1:59" x14ac:dyDescent="0.2">
      <c r="A79" s="10"/>
      <c r="B79" s="14"/>
      <c r="C79" s="14"/>
      <c r="D79" s="15"/>
      <c r="E79" s="16"/>
      <c r="F79" s="306"/>
      <c r="G79" s="306"/>
      <c r="H79" s="309"/>
      <c r="AS79" s="11"/>
      <c r="AT79" s="11"/>
      <c r="AU79" s="11"/>
      <c r="AV79" s="11"/>
      <c r="AW79" s="11"/>
      <c r="AX79" s="11"/>
      <c r="AY79" s="11"/>
      <c r="AZ79" s="11"/>
      <c r="BA79" s="11"/>
      <c r="BB79" s="11"/>
      <c r="BC79" s="11"/>
      <c r="BD79" s="11"/>
      <c r="BE79" s="11"/>
      <c r="BF79" s="11"/>
      <c r="BG79" s="11"/>
    </row>
    <row r="80" spans="1:59" s="8" customFormat="1" ht="27" customHeight="1" x14ac:dyDescent="0.2">
      <c r="A80" s="10"/>
      <c r="B80" s="362" t="s">
        <v>198</v>
      </c>
      <c r="C80" s="362"/>
      <c r="D80" s="30" t="s">
        <v>202</v>
      </c>
      <c r="E80" s="228" t="str">
        <f>IF(ISNUMBER(Q_leach_TIME1),AREAhouse_leachable*Q_leach_TIME1,"??")</f>
        <v>??</v>
      </c>
      <c r="F80" s="19" t="s">
        <v>794</v>
      </c>
      <c r="G80" s="19" t="s">
        <v>8</v>
      </c>
      <c r="H80" s="308" t="s">
        <v>867</v>
      </c>
    </row>
    <row r="81" spans="1:59" s="8" customFormat="1" ht="3" customHeight="1" x14ac:dyDescent="0.2">
      <c r="A81" s="10"/>
      <c r="B81" s="332"/>
      <c r="C81" s="332"/>
      <c r="D81" s="30"/>
      <c r="E81" s="30"/>
      <c r="F81" s="19"/>
      <c r="G81" s="19"/>
      <c r="H81" s="41"/>
    </row>
    <row r="82" spans="1:59" s="8" customFormat="1" ht="25.5" customHeight="1" x14ac:dyDescent="0.2">
      <c r="A82" s="10"/>
      <c r="B82" s="362" t="s">
        <v>703</v>
      </c>
      <c r="C82" s="362"/>
      <c r="D82" s="30" t="s">
        <v>203</v>
      </c>
      <c r="E82" s="228" t="str">
        <f>IF(ISNUMBER(Q_leach_TIME2),AREAhouse_leachable*Q_leach_TIME2,"??")</f>
        <v>??</v>
      </c>
      <c r="F82" s="19" t="s">
        <v>794</v>
      </c>
      <c r="G82" s="19" t="s">
        <v>8</v>
      </c>
      <c r="H82" s="308" t="s">
        <v>868</v>
      </c>
    </row>
    <row r="83" spans="1:59" s="8" customFormat="1" ht="3" customHeight="1" x14ac:dyDescent="0.2">
      <c r="A83" s="10"/>
      <c r="B83" s="332"/>
      <c r="C83" s="332"/>
      <c r="D83" s="30"/>
      <c r="E83" s="30"/>
      <c r="F83" s="19"/>
      <c r="G83" s="19"/>
      <c r="H83" s="41"/>
    </row>
    <row r="84" spans="1:59" s="8" customFormat="1" ht="30" customHeight="1" x14ac:dyDescent="0.2">
      <c r="A84" s="10"/>
      <c r="B84" s="362" t="s">
        <v>199</v>
      </c>
      <c r="C84" s="362"/>
      <c r="D84" s="30" t="s">
        <v>678</v>
      </c>
      <c r="E84" s="228" t="str">
        <f>IF(ISNUMBER(Q_leach_TIME3),AREAhouse_leachable*Q_leach_TIME3,"??")</f>
        <v>??</v>
      </c>
      <c r="F84" s="19" t="s">
        <v>794</v>
      </c>
      <c r="G84" s="19" t="s">
        <v>8</v>
      </c>
      <c r="H84" s="308" t="s">
        <v>869</v>
      </c>
    </row>
    <row r="85" spans="1:59" s="8" customFormat="1" ht="13.5" customHeight="1" x14ac:dyDescent="0.2">
      <c r="A85" s="10"/>
      <c r="B85" s="332"/>
      <c r="C85" s="332"/>
      <c r="D85" s="30"/>
      <c r="E85" s="30"/>
      <c r="F85" s="19"/>
      <c r="G85" s="19"/>
      <c r="H85" s="308"/>
    </row>
    <row r="86" spans="1:59" ht="27.95" customHeight="1" x14ac:dyDescent="0.2">
      <c r="A86" s="10"/>
      <c r="B86" s="362" t="s">
        <v>491</v>
      </c>
      <c r="C86" s="362"/>
      <c r="D86" s="30" t="s">
        <v>452</v>
      </c>
      <c r="E86" s="228" t="str">
        <f>IF(ISNUMBER(Q_leach_TIME1),AREAhouse_leachable*Q_leach_TIME1/TIME1,"??")</f>
        <v>??</v>
      </c>
      <c r="F86" s="19" t="s">
        <v>814</v>
      </c>
      <c r="G86" s="19" t="s">
        <v>8</v>
      </c>
      <c r="H86" s="146" t="s">
        <v>922</v>
      </c>
      <c r="AS86" s="11"/>
      <c r="AT86" s="11"/>
      <c r="AU86" s="11"/>
      <c r="AV86" s="11"/>
      <c r="AW86" s="11"/>
      <c r="AX86" s="11"/>
      <c r="AY86" s="11"/>
      <c r="AZ86" s="11"/>
      <c r="BA86" s="11"/>
      <c r="BB86" s="11"/>
      <c r="BC86" s="11"/>
      <c r="BD86" s="11"/>
      <c r="BE86" s="11"/>
      <c r="BF86" s="11"/>
      <c r="BG86" s="11"/>
    </row>
    <row r="87" spans="1:59" ht="3" customHeight="1" x14ac:dyDescent="0.2">
      <c r="A87" s="10"/>
      <c r="B87" s="332"/>
      <c r="C87" s="332"/>
      <c r="D87" s="30"/>
      <c r="E87" s="339"/>
      <c r="F87" s="19"/>
      <c r="G87" s="19"/>
      <c r="H87" s="146"/>
      <c r="AS87" s="11"/>
      <c r="AT87" s="11"/>
      <c r="AU87" s="11"/>
      <c r="AV87" s="11"/>
      <c r="AW87" s="11"/>
      <c r="AX87" s="11"/>
      <c r="AY87" s="11"/>
      <c r="AZ87" s="11"/>
      <c r="BA87" s="11"/>
      <c r="BB87" s="11"/>
      <c r="BC87" s="11"/>
      <c r="BD87" s="11"/>
      <c r="BE87" s="11"/>
      <c r="BF87" s="11"/>
      <c r="BG87" s="11"/>
    </row>
    <row r="88" spans="1:59" ht="27.95" customHeight="1" x14ac:dyDescent="0.2">
      <c r="A88" s="10"/>
      <c r="B88" s="362" t="s">
        <v>688</v>
      </c>
      <c r="C88" s="362"/>
      <c r="D88" s="30" t="s">
        <v>453</v>
      </c>
      <c r="E88" s="228" t="str">
        <f>IF(ISNUMBER(Q_leach_TIME2),AREAhouse_leachable*Q_leach_TIME2/TIME2,"??")</f>
        <v>??</v>
      </c>
      <c r="F88" s="19" t="s">
        <v>814</v>
      </c>
      <c r="G88" s="19" t="s">
        <v>8</v>
      </c>
      <c r="H88" s="146" t="s">
        <v>923</v>
      </c>
      <c r="AS88" s="11"/>
      <c r="AT88" s="11"/>
      <c r="AU88" s="11"/>
      <c r="AV88" s="11"/>
      <c r="AW88" s="11"/>
      <c r="AX88" s="11"/>
      <c r="AY88" s="11"/>
      <c r="AZ88" s="11"/>
      <c r="BA88" s="11"/>
      <c r="BB88" s="11"/>
      <c r="BC88" s="11"/>
      <c r="BD88" s="11"/>
      <c r="BE88" s="11"/>
      <c r="BF88" s="11"/>
      <c r="BG88" s="11"/>
    </row>
    <row r="89" spans="1:59" ht="3" customHeight="1" x14ac:dyDescent="0.2">
      <c r="A89" s="10"/>
      <c r="B89" s="332"/>
      <c r="C89" s="332"/>
      <c r="D89" s="30"/>
      <c r="E89" s="339"/>
      <c r="F89" s="19"/>
      <c r="G89" s="19"/>
      <c r="H89" s="146"/>
      <c r="AS89" s="11"/>
      <c r="AT89" s="11"/>
      <c r="AU89" s="11"/>
      <c r="AV89" s="11"/>
      <c r="AW89" s="11"/>
      <c r="AX89" s="11"/>
      <c r="AY89" s="11"/>
      <c r="AZ89" s="11"/>
      <c r="BA89" s="11"/>
      <c r="BB89" s="11"/>
      <c r="BC89" s="11"/>
      <c r="BD89" s="11"/>
      <c r="BE89" s="11"/>
      <c r="BF89" s="11"/>
      <c r="BG89" s="11"/>
    </row>
    <row r="90" spans="1:59" ht="22.5" customHeight="1" x14ac:dyDescent="0.2">
      <c r="A90" s="10"/>
      <c r="B90" s="362" t="s">
        <v>492</v>
      </c>
      <c r="C90" s="362"/>
      <c r="D90" s="30" t="s">
        <v>689</v>
      </c>
      <c r="E90" s="228" t="str">
        <f>IF(ISNUMBER(Q_leach_TIME3),AREAhouse_leachable*Q_leach_TIME3/TIME3,"??")</f>
        <v>??</v>
      </c>
      <c r="F90" s="19" t="s">
        <v>814</v>
      </c>
      <c r="G90" s="19" t="s">
        <v>8</v>
      </c>
      <c r="H90" s="146" t="s">
        <v>924</v>
      </c>
      <c r="AS90" s="11"/>
      <c r="AT90" s="11"/>
      <c r="AU90" s="11"/>
      <c r="AV90" s="11"/>
      <c r="AW90" s="11"/>
      <c r="AX90" s="11"/>
      <c r="AY90" s="11"/>
      <c r="AZ90" s="11"/>
      <c r="BA90" s="11"/>
      <c r="BB90" s="11"/>
      <c r="BC90" s="11"/>
      <c r="BD90" s="11"/>
      <c r="BE90" s="11"/>
      <c r="BF90" s="11"/>
      <c r="BG90" s="11"/>
    </row>
    <row r="91" spans="1:59" x14ac:dyDescent="0.2">
      <c r="A91" s="10"/>
      <c r="B91" s="14"/>
      <c r="C91" s="14"/>
      <c r="D91" s="15"/>
      <c r="E91" s="16"/>
      <c r="F91" s="16"/>
      <c r="G91" s="16"/>
      <c r="H91" s="15"/>
      <c r="AS91" s="11"/>
      <c r="AT91" s="11"/>
      <c r="AU91" s="11"/>
      <c r="AV91" s="11"/>
      <c r="AW91" s="11"/>
      <c r="AX91" s="11"/>
      <c r="AY91" s="11"/>
      <c r="AZ91" s="11"/>
      <c r="BA91" s="11"/>
      <c r="BB91" s="11"/>
      <c r="BC91" s="11"/>
      <c r="BD91" s="11"/>
      <c r="BE91" s="11"/>
      <c r="BF91" s="11"/>
      <c r="BG91" s="11"/>
    </row>
    <row r="92" spans="1:59" ht="15" x14ac:dyDescent="0.2">
      <c r="A92" s="10"/>
      <c r="B92" s="382" t="s">
        <v>596</v>
      </c>
      <c r="C92" s="382"/>
      <c r="D92" s="382"/>
      <c r="E92" s="382"/>
      <c r="F92" s="382"/>
      <c r="G92" s="382"/>
      <c r="H92" s="382"/>
      <c r="AS92" s="11"/>
      <c r="AT92" s="11"/>
      <c r="AU92" s="11"/>
      <c r="AV92" s="11"/>
      <c r="AW92" s="11"/>
      <c r="AX92" s="11"/>
      <c r="AY92" s="11"/>
      <c r="AZ92" s="11"/>
      <c r="BA92" s="11"/>
      <c r="BB92" s="11"/>
      <c r="BC92" s="11"/>
      <c r="BD92" s="11"/>
      <c r="BE92" s="11"/>
      <c r="BF92" s="11"/>
      <c r="BG92" s="11"/>
    </row>
    <row r="93" spans="1:59" x14ac:dyDescent="0.2">
      <c r="A93" s="10"/>
      <c r="B93" s="14"/>
      <c r="C93" s="14"/>
      <c r="D93" s="15"/>
      <c r="E93" s="16"/>
      <c r="F93" s="16"/>
      <c r="G93" s="16"/>
      <c r="H93" s="15"/>
      <c r="AR93" s="11"/>
      <c r="AS93" s="11"/>
      <c r="AT93" s="11"/>
      <c r="AU93" s="11"/>
      <c r="AV93" s="11"/>
      <c r="AW93" s="11"/>
      <c r="AX93" s="11"/>
      <c r="AY93" s="11"/>
      <c r="AZ93" s="11"/>
      <c r="BA93" s="11"/>
      <c r="BB93" s="11"/>
      <c r="BC93" s="11"/>
      <c r="BD93" s="11"/>
      <c r="BE93" s="11"/>
      <c r="BF93" s="11"/>
      <c r="BG93" s="11"/>
    </row>
    <row r="94" spans="1:59" s="8" customFormat="1" x14ac:dyDescent="0.2">
      <c r="A94" s="10"/>
      <c r="B94" s="121" t="s">
        <v>927</v>
      </c>
      <c r="C94" s="332"/>
      <c r="D94" s="30"/>
      <c r="E94" s="30"/>
      <c r="F94" s="29"/>
      <c r="G94" s="19"/>
      <c r="H94" s="19"/>
    </row>
    <row r="95" spans="1:59" s="8" customFormat="1" x14ac:dyDescent="0.2">
      <c r="A95" s="10"/>
      <c r="B95" s="121"/>
      <c r="C95" s="332"/>
      <c r="D95" s="30"/>
      <c r="E95" s="30"/>
      <c r="F95" s="29"/>
      <c r="G95" s="19"/>
      <c r="H95" s="19"/>
    </row>
    <row r="96" spans="1:59" s="8" customFormat="1" x14ac:dyDescent="0.2">
      <c r="A96" s="10"/>
      <c r="B96" s="271" t="s">
        <v>394</v>
      </c>
      <c r="C96" s="332"/>
      <c r="D96" s="30"/>
      <c r="E96" s="30"/>
      <c r="F96" s="19"/>
      <c r="G96" s="19"/>
      <c r="H96" s="41"/>
    </row>
    <row r="97" spans="1:8" s="8" customFormat="1" x14ac:dyDescent="0.2">
      <c r="A97" s="10"/>
      <c r="B97" s="332"/>
      <c r="C97" s="332"/>
      <c r="D97" s="30"/>
      <c r="E97" s="30"/>
      <c r="F97" s="19"/>
      <c r="G97" s="19"/>
      <c r="H97" s="41"/>
    </row>
    <row r="98" spans="1:8" s="8" customFormat="1" ht="30.75" customHeight="1" x14ac:dyDescent="0.2">
      <c r="A98" s="10"/>
      <c r="B98" s="335" t="s">
        <v>395</v>
      </c>
      <c r="C98" s="332"/>
      <c r="D98" s="30" t="s">
        <v>401</v>
      </c>
      <c r="E98" s="228" t="str">
        <f>IF(ISNUMBER(Esoil_runoff),Esoil_runoff/(Vsoil_runoff_drift_tier1*RHOsoil),"??")</f>
        <v>??</v>
      </c>
      <c r="F98" s="19" t="s">
        <v>807</v>
      </c>
      <c r="G98" s="19" t="s">
        <v>8</v>
      </c>
      <c r="H98" s="41" t="s">
        <v>862</v>
      </c>
    </row>
    <row r="99" spans="1:8" s="8" customFormat="1" ht="3" customHeight="1" x14ac:dyDescent="0.2">
      <c r="A99" s="10"/>
      <c r="B99" s="335"/>
      <c r="C99" s="332"/>
      <c r="D99" s="30"/>
      <c r="E99" s="30"/>
      <c r="F99" s="19"/>
      <c r="G99" s="19"/>
      <c r="H99" s="41"/>
    </row>
    <row r="100" spans="1:8" s="8" customFormat="1" ht="27.75" customHeight="1" x14ac:dyDescent="0.2">
      <c r="A100" s="10"/>
      <c r="B100" s="335" t="s">
        <v>396</v>
      </c>
      <c r="C100" s="332"/>
      <c r="D100" s="30" t="s">
        <v>402</v>
      </c>
      <c r="E100" s="228" t="str">
        <f>IF(ISNUMBER(Esoil_spray_drift_tier1),Esoil_spray_drift_tier1/(Vsoil_runoff_drift_tier1*RHOsoil),"??")</f>
        <v>??</v>
      </c>
      <c r="F100" s="19" t="s">
        <v>807</v>
      </c>
      <c r="G100" s="19" t="s">
        <v>8</v>
      </c>
      <c r="H100" s="167" t="s">
        <v>863</v>
      </c>
    </row>
    <row r="101" spans="1:8" s="8" customFormat="1" ht="3" customHeight="1" x14ac:dyDescent="0.2">
      <c r="A101" s="10"/>
      <c r="B101" s="335"/>
      <c r="C101" s="332"/>
      <c r="D101" s="30"/>
      <c r="E101" s="30"/>
      <c r="F101" s="19"/>
      <c r="G101" s="19"/>
      <c r="H101" s="41"/>
    </row>
    <row r="102" spans="1:8" s="8" customFormat="1" ht="30" customHeight="1" x14ac:dyDescent="0.2">
      <c r="A102" s="10"/>
      <c r="B102" s="335" t="s">
        <v>397</v>
      </c>
      <c r="C102" s="332"/>
      <c r="D102" s="30" t="s">
        <v>403</v>
      </c>
      <c r="E102" s="228" t="str">
        <f>IF(ISNUMBER(Esoil_spray_drift_tier2),Esoil_spray_drift_tier2/(Vsoil_drift_tier2*RHOsoil),"??")</f>
        <v>??</v>
      </c>
      <c r="F102" s="19" t="s">
        <v>807</v>
      </c>
      <c r="G102" s="19" t="s">
        <v>8</v>
      </c>
      <c r="H102" s="167" t="s">
        <v>864</v>
      </c>
    </row>
    <row r="103" spans="1:8" s="8" customFormat="1" ht="3" customHeight="1" x14ac:dyDescent="0.2">
      <c r="A103" s="10"/>
      <c r="B103" s="335"/>
      <c r="C103" s="332"/>
      <c r="D103" s="30"/>
      <c r="E103" s="30"/>
      <c r="F103" s="19"/>
      <c r="G103" s="19"/>
      <c r="H103" s="41"/>
    </row>
    <row r="104" spans="1:8" s="8" customFormat="1" ht="25.5" customHeight="1" x14ac:dyDescent="0.2">
      <c r="A104" s="10"/>
      <c r="B104" s="335" t="s">
        <v>411</v>
      </c>
      <c r="C104" s="332"/>
      <c r="D104" s="30" t="s">
        <v>751</v>
      </c>
      <c r="E104" s="228" t="str">
        <f>IF(AND(ISNUMBER(Clocalsoil_runoff),ISNUMBER(Clocalsoil_spray_drift_tier1)),Clocalsoil_runoff+Clocalsoil_spray_drift_tier1,"??")</f>
        <v>??</v>
      </c>
      <c r="F104" s="19" t="s">
        <v>807</v>
      </c>
      <c r="G104" s="19" t="s">
        <v>8</v>
      </c>
      <c r="H104" s="167" t="s">
        <v>865</v>
      </c>
    </row>
    <row r="105" spans="1:8" s="8" customFormat="1" ht="3" customHeight="1" x14ac:dyDescent="0.2">
      <c r="A105" s="10"/>
      <c r="B105" s="335"/>
      <c r="C105" s="332"/>
      <c r="D105" s="30"/>
      <c r="E105" s="30"/>
      <c r="F105" s="19"/>
      <c r="G105" s="19"/>
      <c r="H105" s="41"/>
    </row>
    <row r="106" spans="1:8" s="8" customFormat="1" ht="27" customHeight="1" x14ac:dyDescent="0.2">
      <c r="A106" s="10"/>
      <c r="B106" s="335" t="s">
        <v>982</v>
      </c>
      <c r="C106" s="332"/>
      <c r="D106" s="30" t="s">
        <v>752</v>
      </c>
      <c r="E106" s="228" t="str">
        <f>Clocalsoil_spray_drift_tier2</f>
        <v>??</v>
      </c>
      <c r="F106" s="19" t="s">
        <v>807</v>
      </c>
      <c r="G106" s="19" t="s">
        <v>8</v>
      </c>
      <c r="H106" s="167" t="s">
        <v>866</v>
      </c>
    </row>
    <row r="107" spans="1:8" s="8" customFormat="1" x14ac:dyDescent="0.2">
      <c r="A107" s="10"/>
      <c r="B107" s="332"/>
      <c r="C107" s="332"/>
      <c r="D107" s="30"/>
      <c r="E107" s="30"/>
      <c r="F107" s="19"/>
      <c r="G107" s="19"/>
      <c r="H107" s="41"/>
    </row>
    <row r="108" spans="1:8" s="8" customFormat="1" ht="15" x14ac:dyDescent="0.2">
      <c r="A108" s="10"/>
      <c r="B108" s="362" t="s">
        <v>200</v>
      </c>
      <c r="C108" s="362"/>
      <c r="D108" s="30" t="s">
        <v>204</v>
      </c>
      <c r="E108" s="228" t="str">
        <f>IF(ISNUMBER(Qleach_TIME1),Qleach_TIME1/(Vsoil*RHOsoil),"??")</f>
        <v>??</v>
      </c>
      <c r="F108" s="19" t="s">
        <v>807</v>
      </c>
      <c r="G108" s="19" t="s">
        <v>8</v>
      </c>
      <c r="H108" s="41" t="s">
        <v>843</v>
      </c>
    </row>
    <row r="109" spans="1:8" s="8" customFormat="1" ht="3" customHeight="1" x14ac:dyDescent="0.2">
      <c r="A109" s="10"/>
      <c r="B109" s="332"/>
      <c r="C109" s="332"/>
      <c r="D109" s="30"/>
      <c r="E109" s="30"/>
      <c r="F109" s="19"/>
      <c r="G109" s="19"/>
      <c r="H109" s="41"/>
    </row>
    <row r="110" spans="1:8" s="8" customFormat="1" ht="33.75" customHeight="1" x14ac:dyDescent="0.2">
      <c r="A110" s="10"/>
      <c r="B110" s="362" t="s">
        <v>682</v>
      </c>
      <c r="C110" s="362"/>
      <c r="D110" s="30" t="s">
        <v>205</v>
      </c>
      <c r="E110" s="228" t="str">
        <f>IF(ISNUMBER(Qleach_TIME2),Qleach_TIME2/(Vsoil*RHOsoil),"??")</f>
        <v>??</v>
      </c>
      <c r="F110" s="19" t="s">
        <v>807</v>
      </c>
      <c r="G110" s="19" t="s">
        <v>8</v>
      </c>
      <c r="H110" s="41" t="s">
        <v>844</v>
      </c>
    </row>
    <row r="111" spans="1:8" s="8" customFormat="1" ht="3" customHeight="1" x14ac:dyDescent="0.2">
      <c r="A111" s="10"/>
      <c r="B111" s="332"/>
      <c r="C111" s="332"/>
      <c r="D111" s="30"/>
      <c r="E111" s="30"/>
      <c r="F111" s="19"/>
      <c r="G111" s="19"/>
      <c r="H111" s="41"/>
    </row>
    <row r="112" spans="1:8" s="8" customFormat="1" ht="15" x14ac:dyDescent="0.2">
      <c r="A112" s="10"/>
      <c r="B112" s="362" t="s">
        <v>201</v>
      </c>
      <c r="C112" s="362"/>
      <c r="D112" s="30" t="s">
        <v>681</v>
      </c>
      <c r="E112" s="228" t="str">
        <f>IF(ISNUMBER(Qleach_TIME3),Qleach_TIME3/(Vsoil*RHOsoil),"??")</f>
        <v>??</v>
      </c>
      <c r="F112" s="19" t="s">
        <v>807</v>
      </c>
      <c r="G112" s="19" t="s">
        <v>8</v>
      </c>
      <c r="H112" s="41" t="s">
        <v>845</v>
      </c>
    </row>
    <row r="113" spans="1:59" s="8" customFormat="1" x14ac:dyDescent="0.2">
      <c r="A113" s="10"/>
      <c r="B113" s="332"/>
      <c r="C113" s="332"/>
      <c r="D113" s="30"/>
      <c r="E113" s="16"/>
      <c r="F113" s="19"/>
      <c r="G113" s="19"/>
      <c r="H113" s="41"/>
    </row>
    <row r="114" spans="1:59" s="75" customFormat="1" ht="38.25" customHeight="1" x14ac:dyDescent="0.2">
      <c r="A114" s="73"/>
      <c r="B114" s="333" t="s">
        <v>407</v>
      </c>
      <c r="C114" s="29"/>
      <c r="D114" s="29" t="s">
        <v>405</v>
      </c>
      <c r="E114" s="228" t="str">
        <f>IF(AND(ISNUMBER(Clocalsoil_tier1),ISNUMBER(Clocalsoil_leach_TIME1)), Clocalsoil_tier1+Clocalsoil_leach_TIME1,"??")</f>
        <v>??</v>
      </c>
      <c r="F114" s="19" t="s">
        <v>807</v>
      </c>
      <c r="G114" s="19" t="s">
        <v>8</v>
      </c>
      <c r="H114" s="41" t="s">
        <v>406</v>
      </c>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row>
    <row r="115" spans="1:59" s="75" customFormat="1" ht="3" customHeight="1" x14ac:dyDescent="0.2">
      <c r="A115" s="73"/>
      <c r="B115" s="333"/>
      <c r="C115" s="29"/>
      <c r="D115" s="29"/>
      <c r="E115" s="19"/>
      <c r="F115" s="19"/>
      <c r="G115" s="19"/>
      <c r="H115" s="41"/>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row>
    <row r="116" spans="1:59" s="75" customFormat="1" ht="38.25" x14ac:dyDescent="0.2">
      <c r="A116" s="73"/>
      <c r="B116" s="333" t="s">
        <v>749</v>
      </c>
      <c r="C116" s="29"/>
      <c r="D116" s="29" t="s">
        <v>409</v>
      </c>
      <c r="E116" s="228" t="str">
        <f>IF(AND(ISNUMBER(Clocalsoil_tier1),ISNUMBER(Clocalsoil_leach_TIME2)), Clocalsoil_tier1+Clocalsoil_leach_TIME2,"??")</f>
        <v>??</v>
      </c>
      <c r="F116" s="19" t="s">
        <v>807</v>
      </c>
      <c r="G116" s="19" t="s">
        <v>8</v>
      </c>
      <c r="H116" s="41" t="s">
        <v>410</v>
      </c>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row>
    <row r="117" spans="1:59" s="75" customFormat="1" ht="3" customHeight="1" x14ac:dyDescent="0.2">
      <c r="A117" s="73"/>
      <c r="B117" s="333"/>
      <c r="C117" s="29"/>
      <c r="D117" s="29"/>
      <c r="E117" s="19"/>
      <c r="F117" s="19"/>
      <c r="G117" s="19"/>
      <c r="H117" s="41"/>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row>
    <row r="118" spans="1:59" s="75" customFormat="1" ht="38.25" customHeight="1" x14ac:dyDescent="0.2">
      <c r="A118" s="73"/>
      <c r="B118" s="333" t="s">
        <v>408</v>
      </c>
      <c r="C118" s="29"/>
      <c r="D118" s="29" t="s">
        <v>747</v>
      </c>
      <c r="E118" s="228" t="str">
        <f>IF(AND(ISNUMBER(Clocalsoil_tier1),ISNUMBER(Clocalsoil_leach_TIME3)), Clocalsoil_tier1+Clocalsoil_leach_TIME3,"??")</f>
        <v>??</v>
      </c>
      <c r="F118" s="19" t="s">
        <v>807</v>
      </c>
      <c r="G118" s="19" t="s">
        <v>8</v>
      </c>
      <c r="H118" s="41" t="s">
        <v>748</v>
      </c>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row>
    <row r="119" spans="1:59" s="75" customFormat="1" x14ac:dyDescent="0.2">
      <c r="A119" s="73"/>
      <c r="B119" s="333"/>
      <c r="C119" s="29"/>
      <c r="D119" s="29"/>
      <c r="E119" s="7"/>
      <c r="F119" s="7"/>
      <c r="G119" s="19"/>
      <c r="H119" s="41"/>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row>
    <row r="120" spans="1:59" ht="15" x14ac:dyDescent="0.2">
      <c r="A120" s="10"/>
      <c r="B120" s="382" t="s">
        <v>559</v>
      </c>
      <c r="C120" s="382"/>
      <c r="D120" s="382"/>
      <c r="E120" s="382"/>
      <c r="F120" s="382"/>
      <c r="G120" s="382"/>
      <c r="H120" s="382"/>
      <c r="I120" s="74"/>
      <c r="AS120" s="11"/>
      <c r="AT120" s="11"/>
      <c r="AU120" s="11"/>
      <c r="AV120" s="11"/>
      <c r="AW120" s="11"/>
      <c r="AX120" s="11"/>
      <c r="AY120" s="11"/>
      <c r="AZ120" s="11"/>
      <c r="BA120" s="11"/>
      <c r="BB120" s="11"/>
      <c r="BC120" s="11"/>
      <c r="BD120" s="11"/>
      <c r="BE120" s="11"/>
      <c r="BF120" s="11"/>
      <c r="BG120" s="11"/>
    </row>
    <row r="121" spans="1:59" x14ac:dyDescent="0.2">
      <c r="A121" s="10"/>
      <c r="B121" s="333"/>
      <c r="C121" s="29"/>
      <c r="D121" s="29"/>
      <c r="E121" s="7"/>
      <c r="F121" s="7"/>
      <c r="G121" s="19"/>
      <c r="H121" s="41"/>
      <c r="AS121" s="11"/>
      <c r="AT121" s="11"/>
      <c r="AU121" s="11"/>
      <c r="AV121" s="11"/>
      <c r="AW121" s="11"/>
      <c r="AX121" s="11"/>
      <c r="AY121" s="11"/>
      <c r="AZ121" s="11"/>
      <c r="BA121" s="11"/>
      <c r="BB121" s="11"/>
      <c r="BC121" s="11"/>
      <c r="BD121" s="11"/>
      <c r="BE121" s="11"/>
      <c r="BF121" s="11"/>
      <c r="BG121" s="11"/>
    </row>
    <row r="122" spans="1:59" x14ac:dyDescent="0.2">
      <c r="A122" s="10"/>
      <c r="B122" s="301" t="s">
        <v>750</v>
      </c>
      <c r="C122" s="334"/>
      <c r="D122" s="334"/>
      <c r="E122" s="334"/>
      <c r="F122" s="334"/>
      <c r="G122" s="334"/>
      <c r="H122" s="334"/>
      <c r="AS122" s="11"/>
      <c r="AT122" s="11"/>
      <c r="AU122" s="11"/>
      <c r="AV122" s="11"/>
      <c r="AW122" s="11"/>
      <c r="AX122" s="11"/>
      <c r="AY122" s="11"/>
      <c r="AZ122" s="11"/>
      <c r="BA122" s="11"/>
      <c r="BB122" s="11"/>
      <c r="BC122" s="11"/>
      <c r="BD122" s="11"/>
      <c r="BE122" s="11"/>
      <c r="BF122" s="11"/>
      <c r="BG122" s="11"/>
    </row>
    <row r="123" spans="1:59" ht="12.75" customHeight="1" x14ac:dyDescent="0.2">
      <c r="A123" s="10"/>
      <c r="B123" s="333"/>
      <c r="C123" s="29"/>
      <c r="D123" s="29"/>
      <c r="E123" s="7"/>
      <c r="F123" s="7"/>
      <c r="G123" s="19"/>
      <c r="H123" s="41"/>
      <c r="AS123" s="11"/>
      <c r="AT123" s="11"/>
      <c r="AU123" s="11"/>
      <c r="AV123" s="11"/>
      <c r="AW123" s="11"/>
      <c r="AX123" s="11"/>
      <c r="AY123" s="11"/>
      <c r="AZ123" s="11"/>
      <c r="BA123" s="11"/>
      <c r="BB123" s="11"/>
      <c r="BC123" s="11"/>
      <c r="BD123" s="11"/>
      <c r="BE123" s="11"/>
      <c r="BF123" s="11"/>
      <c r="BG123" s="11"/>
    </row>
    <row r="124" spans="1:59" ht="30" x14ac:dyDescent="0.2">
      <c r="A124" s="10"/>
      <c r="B124" s="362" t="s">
        <v>562</v>
      </c>
      <c r="C124" s="362"/>
      <c r="D124" s="30" t="s">
        <v>454</v>
      </c>
      <c r="E124" s="228" t="str">
        <f>IF(AND(ISNUMBER(Esoil_leach_TIME1),ISNUMBER(k_soil),ISNUMBER(Clocalsoil_tier1)),Esoil_leach_TIME1/(Vsoil*RHOsoil*k_soil)-(Esoil_leach_TIME1/(Vsoil*RHOsoil*k_soil)-Clocalsoil_tier1)*EXP(-TIME1*k_soil),"??")</f>
        <v>??</v>
      </c>
      <c r="F124" s="19" t="s">
        <v>807</v>
      </c>
      <c r="G124" s="19" t="s">
        <v>8</v>
      </c>
      <c r="H124" s="146" t="s">
        <v>753</v>
      </c>
      <c r="AS124" s="11"/>
      <c r="AT124" s="11"/>
      <c r="AU124" s="11"/>
      <c r="AV124" s="11"/>
      <c r="AW124" s="11"/>
      <c r="AX124" s="11"/>
      <c r="AY124" s="11"/>
      <c r="AZ124" s="11"/>
      <c r="BA124" s="11"/>
      <c r="BB124" s="11"/>
      <c r="BC124" s="11"/>
      <c r="BD124" s="11"/>
      <c r="BE124" s="11"/>
      <c r="BF124" s="11"/>
      <c r="BG124" s="11"/>
    </row>
    <row r="125" spans="1:59" ht="3" customHeight="1" x14ac:dyDescent="0.2">
      <c r="A125" s="10"/>
      <c r="B125" s="332"/>
      <c r="C125" s="332"/>
      <c r="D125" s="30"/>
      <c r="E125" s="7"/>
      <c r="F125" s="19"/>
      <c r="G125" s="19"/>
      <c r="H125" s="146"/>
      <c r="AS125" s="11"/>
      <c r="AT125" s="11"/>
      <c r="AU125" s="11"/>
      <c r="AV125" s="11"/>
      <c r="AW125" s="11"/>
      <c r="AX125" s="11"/>
      <c r="AY125" s="11"/>
      <c r="AZ125" s="11"/>
      <c r="BA125" s="11"/>
      <c r="BB125" s="11"/>
      <c r="BC125" s="11"/>
      <c r="BD125" s="11"/>
      <c r="BE125" s="11"/>
      <c r="BF125" s="11"/>
      <c r="BG125" s="11"/>
    </row>
    <row r="126" spans="1:59" ht="30" x14ac:dyDescent="0.2">
      <c r="A126" s="10"/>
      <c r="B126" s="362" t="s">
        <v>700</v>
      </c>
      <c r="C126" s="362"/>
      <c r="D126" s="30" t="s">
        <v>455</v>
      </c>
      <c r="E126" s="228" t="str">
        <f>IF(AND(ISNUMBER(Esoil_leach_TIME2),ISNUMBER(k_soil),ISNUMBER(Clocalsoil_tier1)),Esoil_leach_TIME2/(Vsoil*RHOsoil*k_soil)-(Esoil_leach_TIME2/(Vsoil*RHOsoil*k_soil)-Clocalsoil_tier1)*EXP(-TIME2*k_soil),"??")</f>
        <v>??</v>
      </c>
      <c r="F126" s="19" t="s">
        <v>807</v>
      </c>
      <c r="G126" s="19" t="s">
        <v>8</v>
      </c>
      <c r="H126" s="146" t="s">
        <v>759</v>
      </c>
      <c r="AS126" s="11"/>
      <c r="AT126" s="11"/>
      <c r="AU126" s="11"/>
      <c r="AV126" s="11"/>
      <c r="AW126" s="11"/>
      <c r="AX126" s="11"/>
      <c r="AY126" s="11"/>
      <c r="AZ126" s="11"/>
      <c r="BA126" s="11"/>
      <c r="BB126" s="11"/>
      <c r="BC126" s="11"/>
      <c r="BD126" s="11"/>
      <c r="BE126" s="11"/>
      <c r="BF126" s="11"/>
      <c r="BG126" s="11"/>
    </row>
    <row r="127" spans="1:59" ht="3" customHeight="1" x14ac:dyDescent="0.2">
      <c r="A127" s="10"/>
      <c r="B127" s="332"/>
      <c r="C127" s="332"/>
      <c r="D127" s="30"/>
      <c r="E127" s="7"/>
      <c r="F127" s="19"/>
      <c r="G127" s="19"/>
      <c r="H127" s="146"/>
      <c r="AS127" s="11"/>
      <c r="AT127" s="11"/>
      <c r="AU127" s="11"/>
      <c r="AV127" s="11"/>
      <c r="AW127" s="11"/>
      <c r="AX127" s="11"/>
      <c r="AY127" s="11"/>
      <c r="AZ127" s="11"/>
      <c r="BA127" s="11"/>
      <c r="BB127" s="11"/>
      <c r="BC127" s="11"/>
      <c r="BD127" s="11"/>
      <c r="BE127" s="11"/>
      <c r="BF127" s="11"/>
      <c r="BG127" s="11"/>
    </row>
    <row r="128" spans="1:59" ht="30" x14ac:dyDescent="0.2">
      <c r="A128" s="10"/>
      <c r="B128" s="362" t="s">
        <v>563</v>
      </c>
      <c r="C128" s="362"/>
      <c r="D128" s="30" t="s">
        <v>691</v>
      </c>
      <c r="E128" s="228" t="str">
        <f>IF(AND(ISNUMBER(Esoil_leach_TIME3),ISNUMBER(k_soil),ISNUMBER(Clocalsoil_tier1)),Esoil_leach_TIME3/(Vsoil*RHOsoil*k_soil)-(Esoil_leach_TIME3/(Vsoil*RHOsoil*k_soil)-Clocalsoil_tier1)*EXP(-TIME3*k_soil),"??")</f>
        <v>??</v>
      </c>
      <c r="F128" s="19" t="s">
        <v>807</v>
      </c>
      <c r="G128" s="19" t="s">
        <v>8</v>
      </c>
      <c r="H128" s="146" t="s">
        <v>760</v>
      </c>
      <c r="AS128" s="11"/>
      <c r="AT128" s="11"/>
      <c r="AU128" s="11"/>
      <c r="AV128" s="11"/>
      <c r="AW128" s="11"/>
      <c r="AX128" s="11"/>
      <c r="AY128" s="11"/>
      <c r="AZ128" s="11"/>
      <c r="BA128" s="11"/>
      <c r="BB128" s="11"/>
      <c r="BC128" s="11"/>
      <c r="BD128" s="11"/>
      <c r="BE128" s="11"/>
      <c r="BF128" s="11"/>
      <c r="BG128" s="11"/>
    </row>
    <row r="129" spans="1:59" ht="3" customHeight="1" x14ac:dyDescent="0.2">
      <c r="A129" s="10"/>
      <c r="B129" s="332"/>
      <c r="C129" s="332"/>
      <c r="D129" s="30"/>
      <c r="E129" s="7"/>
      <c r="F129" s="19"/>
      <c r="G129" s="19"/>
      <c r="H129" s="146"/>
      <c r="AS129" s="11"/>
      <c r="AT129" s="11"/>
      <c r="AU129" s="11"/>
      <c r="AV129" s="11"/>
      <c r="AW129" s="11"/>
      <c r="AX129" s="11"/>
      <c r="AY129" s="11"/>
      <c r="AZ129" s="11"/>
      <c r="BA129" s="11"/>
      <c r="BB129" s="11"/>
      <c r="BC129" s="11"/>
      <c r="BD129" s="11"/>
      <c r="BE129" s="11"/>
      <c r="BF129" s="11"/>
      <c r="BG129" s="11"/>
    </row>
    <row r="130" spans="1:59" ht="15" x14ac:dyDescent="0.2">
      <c r="A130" s="10"/>
      <c r="B130" s="362" t="s">
        <v>560</v>
      </c>
      <c r="C130" s="362"/>
      <c r="D130" s="30" t="s">
        <v>456</v>
      </c>
      <c r="E130" s="228" t="str">
        <f>IF(AND(ISNUMBER(Clocal_soil_TIME1_tier1),ISNUMBER(Ksoil_water)),Clocal_soil_TIME1_tier1*RHOsoil/(Ksoil_water*1000),"??")</f>
        <v>??</v>
      </c>
      <c r="F130" s="19" t="s">
        <v>810</v>
      </c>
      <c r="G130" s="19" t="s">
        <v>8</v>
      </c>
      <c r="H130" s="146" t="s">
        <v>978</v>
      </c>
      <c r="AS130" s="11"/>
      <c r="AT130" s="11"/>
      <c r="AU130" s="11"/>
      <c r="AV130" s="11"/>
      <c r="AW130" s="11"/>
      <c r="AX130" s="11"/>
      <c r="AY130" s="11"/>
      <c r="AZ130" s="11"/>
      <c r="BA130" s="11"/>
      <c r="BB130" s="11"/>
      <c r="BC130" s="11"/>
      <c r="BD130" s="11"/>
      <c r="BE130" s="11"/>
      <c r="BF130" s="11"/>
      <c r="BG130" s="11"/>
    </row>
    <row r="131" spans="1:59" ht="3" customHeight="1" x14ac:dyDescent="0.2">
      <c r="A131" s="10"/>
      <c r="B131" s="332"/>
      <c r="C131" s="332"/>
      <c r="D131" s="30"/>
      <c r="E131" s="7"/>
      <c r="F131" s="19"/>
      <c r="G131" s="19"/>
      <c r="H131" s="146"/>
      <c r="AS131" s="11"/>
      <c r="AT131" s="11"/>
      <c r="AU131" s="11"/>
      <c r="AV131" s="11"/>
      <c r="AW131" s="11"/>
      <c r="AX131" s="11"/>
      <c r="AY131" s="11"/>
      <c r="AZ131" s="11"/>
      <c r="BA131" s="11"/>
      <c r="BB131" s="11"/>
      <c r="BC131" s="11"/>
      <c r="BD131" s="11"/>
      <c r="BE131" s="11"/>
      <c r="BF131" s="11"/>
      <c r="BG131" s="11"/>
    </row>
    <row r="132" spans="1:59" ht="15" x14ac:dyDescent="0.2">
      <c r="A132" s="10"/>
      <c r="B132" s="362" t="s">
        <v>693</v>
      </c>
      <c r="C132" s="362"/>
      <c r="D132" s="30" t="s">
        <v>457</v>
      </c>
      <c r="E132" s="228" t="str">
        <f>IF(AND(ISNUMBER(Clocal_soil_TIME2_tier1),ISNUMBER(Ksoil_water)),Clocal_soil_TIME2_tier1*RHOsoil/(Ksoil_water*1000),"??")</f>
        <v>??</v>
      </c>
      <c r="F132" s="19" t="s">
        <v>810</v>
      </c>
      <c r="G132" s="19" t="s">
        <v>8</v>
      </c>
      <c r="H132" s="146" t="s">
        <v>979</v>
      </c>
      <c r="AS132" s="11"/>
      <c r="AT132" s="11"/>
      <c r="AU132" s="11"/>
      <c r="AV132" s="11"/>
      <c r="AW132" s="11"/>
      <c r="AX132" s="11"/>
      <c r="AY132" s="11"/>
      <c r="AZ132" s="11"/>
      <c r="BA132" s="11"/>
      <c r="BB132" s="11"/>
      <c r="BC132" s="11"/>
      <c r="BD132" s="11"/>
      <c r="BE132" s="11"/>
      <c r="BF132" s="11"/>
      <c r="BG132" s="11"/>
    </row>
    <row r="133" spans="1:59" ht="3" customHeight="1" x14ac:dyDescent="0.2">
      <c r="A133" s="10"/>
      <c r="B133" s="332"/>
      <c r="C133" s="332"/>
      <c r="D133" s="30"/>
      <c r="E133" s="7"/>
      <c r="F133" s="19"/>
      <c r="G133" s="19"/>
      <c r="H133" s="146"/>
      <c r="AS133" s="11"/>
      <c r="AT133" s="11"/>
      <c r="AU133" s="11"/>
      <c r="AV133" s="11"/>
      <c r="AW133" s="11"/>
      <c r="AX133" s="11"/>
      <c r="AY133" s="11"/>
      <c r="AZ133" s="11"/>
      <c r="BA133" s="11"/>
      <c r="BB133" s="11"/>
      <c r="BC133" s="11"/>
      <c r="BD133" s="11"/>
      <c r="BE133" s="11"/>
      <c r="BF133" s="11"/>
      <c r="BG133" s="11"/>
    </row>
    <row r="134" spans="1:59" ht="15" x14ac:dyDescent="0.2">
      <c r="A134" s="10"/>
      <c r="B134" s="362" t="s">
        <v>561</v>
      </c>
      <c r="C134" s="362"/>
      <c r="D134" s="30" t="s">
        <v>692</v>
      </c>
      <c r="E134" s="228" t="str">
        <f>IF(AND(ISNUMBER(Clocal_soil_TIME3_tier1),ISNUMBER(Ksoil_water)),Clocal_soil_TIME3_tier1*RHOsoil/(Ksoil_water*1000),"??")</f>
        <v>??</v>
      </c>
      <c r="F134" s="19" t="s">
        <v>810</v>
      </c>
      <c r="G134" s="19" t="s">
        <v>8</v>
      </c>
      <c r="H134" s="146" t="s">
        <v>980</v>
      </c>
      <c r="AS134" s="11"/>
      <c r="AT134" s="11"/>
      <c r="AU134" s="11"/>
      <c r="AV134" s="11"/>
      <c r="AW134" s="11"/>
      <c r="AX134" s="11"/>
      <c r="AY134" s="11"/>
      <c r="AZ134" s="11"/>
      <c r="BA134" s="11"/>
      <c r="BB134" s="11"/>
      <c r="BC134" s="11"/>
      <c r="BD134" s="11"/>
      <c r="BE134" s="11"/>
      <c r="BF134" s="11"/>
      <c r="BG134" s="11"/>
    </row>
    <row r="135" spans="1:59" x14ac:dyDescent="0.2">
      <c r="A135" s="10"/>
      <c r="B135" s="333"/>
      <c r="C135" s="29"/>
      <c r="D135" s="29"/>
      <c r="E135" s="7"/>
      <c r="F135" s="19"/>
      <c r="G135" s="19"/>
      <c r="H135" s="41"/>
      <c r="AS135" s="11"/>
      <c r="AT135" s="11"/>
      <c r="AU135" s="11"/>
      <c r="AV135" s="11"/>
      <c r="AW135" s="11"/>
      <c r="AX135" s="11"/>
      <c r="AY135" s="11"/>
      <c r="AZ135" s="11"/>
      <c r="BA135" s="11"/>
      <c r="BB135" s="11"/>
      <c r="BC135" s="11"/>
      <c r="BD135" s="11"/>
      <c r="BE135" s="11"/>
      <c r="BF135" s="11"/>
      <c r="BG135" s="11"/>
    </row>
    <row r="136" spans="1:59" ht="12.75" customHeight="1" x14ac:dyDescent="0.2">
      <c r="A136" s="10"/>
      <c r="B136" s="333"/>
      <c r="C136" s="29"/>
      <c r="D136" s="29"/>
      <c r="E136" s="7"/>
      <c r="F136" s="19"/>
      <c r="G136" s="19"/>
      <c r="H136" s="41"/>
      <c r="AS136" s="11"/>
      <c r="AT136" s="11"/>
      <c r="AU136" s="11"/>
      <c r="AV136" s="11"/>
      <c r="AW136" s="11"/>
      <c r="AX136" s="11"/>
      <c r="AY136" s="11"/>
      <c r="AZ136" s="11"/>
      <c r="BA136" s="11"/>
      <c r="BB136" s="11"/>
      <c r="BC136" s="11"/>
      <c r="BD136" s="11"/>
      <c r="BE136" s="11"/>
      <c r="BF136" s="11"/>
      <c r="BG136" s="11"/>
    </row>
    <row r="137" spans="1:59" x14ac:dyDescent="0.2">
      <c r="A137" s="10"/>
      <c r="B137" s="301" t="s">
        <v>755</v>
      </c>
      <c r="C137" s="334"/>
      <c r="D137" s="334"/>
      <c r="E137" s="334"/>
      <c r="F137" s="200"/>
      <c r="G137" s="200"/>
      <c r="H137" s="200"/>
      <c r="AS137" s="11"/>
      <c r="AT137" s="11"/>
      <c r="AU137" s="11"/>
      <c r="AV137" s="11"/>
      <c r="AW137" s="11"/>
      <c r="AX137" s="11"/>
      <c r="AY137" s="11"/>
      <c r="AZ137" s="11"/>
      <c r="BA137" s="11"/>
      <c r="BB137" s="11"/>
      <c r="BC137" s="11"/>
      <c r="BD137" s="11"/>
      <c r="BE137" s="11"/>
      <c r="BF137" s="11"/>
      <c r="BG137" s="11"/>
    </row>
    <row r="138" spans="1:59" ht="12.75" customHeight="1" x14ac:dyDescent="0.2">
      <c r="A138" s="10"/>
      <c r="B138" s="333"/>
      <c r="C138" s="29"/>
      <c r="D138" s="29"/>
      <c r="E138" s="7"/>
      <c r="F138" s="19"/>
      <c r="G138" s="19"/>
      <c r="H138" s="41"/>
      <c r="AS138" s="11"/>
      <c r="AT138" s="11"/>
      <c r="AU138" s="11"/>
      <c r="AV138" s="11"/>
      <c r="AW138" s="11"/>
      <c r="AX138" s="11"/>
      <c r="AY138" s="11"/>
      <c r="AZ138" s="11"/>
      <c r="BA138" s="11"/>
      <c r="BB138" s="11"/>
      <c r="BC138" s="11"/>
      <c r="BD138" s="11"/>
      <c r="BE138" s="11"/>
      <c r="BF138" s="11"/>
      <c r="BG138" s="11"/>
    </row>
    <row r="139" spans="1:59" ht="30" x14ac:dyDescent="0.2">
      <c r="A139" s="10"/>
      <c r="B139" s="362" t="s">
        <v>562</v>
      </c>
      <c r="C139" s="362"/>
      <c r="D139" s="30" t="s">
        <v>454</v>
      </c>
      <c r="E139" s="228" t="str">
        <f>IF(AND(ISNUMBER(Esoil_leach_TIME1),ISNUMBER(k_soil),ISNUMBER(Clocalsoil_tier2)),Esoil_leach_TIME1/(Vsoil*RHOsoil*k_soil)-(Esoil_leach_TIME1/(Vsoil*RHOsoil*k_soil)-Clocalsoil_tier2)*EXP(-TIME1*k_soil),"??")</f>
        <v>??</v>
      </c>
      <c r="F139" s="19" t="s">
        <v>807</v>
      </c>
      <c r="G139" s="19" t="s">
        <v>8</v>
      </c>
      <c r="H139" s="146" t="s">
        <v>756</v>
      </c>
      <c r="AS139" s="11"/>
      <c r="AT139" s="11"/>
      <c r="AU139" s="11"/>
      <c r="AV139" s="11"/>
      <c r="AW139" s="11"/>
      <c r="AX139" s="11"/>
      <c r="AY139" s="11"/>
      <c r="AZ139" s="11"/>
      <c r="BA139" s="11"/>
      <c r="BB139" s="11"/>
      <c r="BC139" s="11"/>
      <c r="BD139" s="11"/>
      <c r="BE139" s="11"/>
      <c r="BF139" s="11"/>
      <c r="BG139" s="11"/>
    </row>
    <row r="140" spans="1:59" ht="3" customHeight="1" x14ac:dyDescent="0.2">
      <c r="A140" s="10"/>
      <c r="B140" s="332"/>
      <c r="C140" s="332"/>
      <c r="D140" s="30"/>
      <c r="E140" s="7"/>
      <c r="F140" s="19"/>
      <c r="G140" s="19"/>
      <c r="H140" s="146"/>
      <c r="AS140" s="11"/>
      <c r="AT140" s="11"/>
      <c r="AU140" s="11"/>
      <c r="AV140" s="11"/>
      <c r="AW140" s="11"/>
      <c r="AX140" s="11"/>
      <c r="AY140" s="11"/>
      <c r="AZ140" s="11"/>
      <c r="BA140" s="11"/>
      <c r="BB140" s="11"/>
      <c r="BC140" s="11"/>
      <c r="BD140" s="11"/>
      <c r="BE140" s="11"/>
      <c r="BF140" s="11"/>
      <c r="BG140" s="11"/>
    </row>
    <row r="141" spans="1:59" ht="30" x14ac:dyDescent="0.2">
      <c r="A141" s="10"/>
      <c r="B141" s="362" t="s">
        <v>700</v>
      </c>
      <c r="C141" s="362"/>
      <c r="D141" s="30" t="s">
        <v>455</v>
      </c>
      <c r="E141" s="228" t="str">
        <f>IF(AND(ISNUMBER(Esoil_leach_TIME2),ISNUMBER(k_soil),ISNUMBER(Clocalsoil_tier2)),Esoil_leach_TIME2/(Vsoil*RHOsoil*k_soil)-(Esoil_leach_TIME2/(Vsoil*RHOsoil*k_soil)-Clocalsoil_tier2)*EXP(-TIME2*k_soil),"??")</f>
        <v>??</v>
      </c>
      <c r="F141" s="19" t="s">
        <v>807</v>
      </c>
      <c r="G141" s="19" t="s">
        <v>8</v>
      </c>
      <c r="H141" s="146" t="s">
        <v>754</v>
      </c>
      <c r="AS141" s="11"/>
      <c r="AT141" s="11"/>
      <c r="AU141" s="11"/>
      <c r="AV141" s="11"/>
      <c r="AW141" s="11"/>
      <c r="AX141" s="11"/>
      <c r="AY141" s="11"/>
      <c r="AZ141" s="11"/>
      <c r="BA141" s="11"/>
      <c r="BB141" s="11"/>
      <c r="BC141" s="11"/>
      <c r="BD141" s="11"/>
      <c r="BE141" s="11"/>
      <c r="BF141" s="11"/>
      <c r="BG141" s="11"/>
    </row>
    <row r="142" spans="1:59" ht="3" customHeight="1" x14ac:dyDescent="0.2">
      <c r="A142" s="10"/>
      <c r="B142" s="332"/>
      <c r="C142" s="332"/>
      <c r="D142" s="30"/>
      <c r="E142" s="7"/>
      <c r="F142" s="19"/>
      <c r="G142" s="19"/>
      <c r="H142" s="146"/>
      <c r="AS142" s="11"/>
      <c r="AT142" s="11"/>
      <c r="AU142" s="11"/>
      <c r="AV142" s="11"/>
      <c r="AW142" s="11"/>
      <c r="AX142" s="11"/>
      <c r="AY142" s="11"/>
      <c r="AZ142" s="11"/>
      <c r="BA142" s="11"/>
      <c r="BB142" s="11"/>
      <c r="BC142" s="11"/>
      <c r="BD142" s="11"/>
      <c r="BE142" s="11"/>
      <c r="BF142" s="11"/>
      <c r="BG142" s="11"/>
    </row>
    <row r="143" spans="1:59" ht="30" x14ac:dyDescent="0.2">
      <c r="A143" s="10"/>
      <c r="B143" s="362" t="s">
        <v>563</v>
      </c>
      <c r="C143" s="362"/>
      <c r="D143" s="30" t="s">
        <v>691</v>
      </c>
      <c r="E143" s="228" t="str">
        <f>IF(AND(ISNUMBER(Esoil_leach_TIME3),ISNUMBER(k_soil),ISNUMBER(Clocalsoil_tier2)),Esoil_leach_TIME3/(Vsoil*RHOsoil*k_soil)-(Esoil_leach_TIME3/(Vsoil*RHOsoil*k_soil)-Clocalsoil_tier2)*EXP(-TIME3*k_soil),"??")</f>
        <v>??</v>
      </c>
      <c r="F143" s="19" t="s">
        <v>807</v>
      </c>
      <c r="G143" s="19" t="s">
        <v>8</v>
      </c>
      <c r="H143" s="146" t="s">
        <v>757</v>
      </c>
      <c r="AS143" s="11"/>
      <c r="AT143" s="11"/>
      <c r="AU143" s="11"/>
      <c r="AV143" s="11"/>
      <c r="AW143" s="11"/>
      <c r="AX143" s="11"/>
      <c r="AY143" s="11"/>
      <c r="AZ143" s="11"/>
      <c r="BA143" s="11"/>
      <c r="BB143" s="11"/>
      <c r="BC143" s="11"/>
      <c r="BD143" s="11"/>
      <c r="BE143" s="11"/>
      <c r="BF143" s="11"/>
      <c r="BG143" s="11"/>
    </row>
    <row r="144" spans="1:59" ht="3" customHeight="1" x14ac:dyDescent="0.2">
      <c r="A144" s="10"/>
      <c r="B144" s="332"/>
      <c r="C144" s="332"/>
      <c r="D144" s="30"/>
      <c r="E144" s="7"/>
      <c r="F144" s="19"/>
      <c r="G144" s="19"/>
      <c r="H144" s="146"/>
      <c r="AS144" s="11"/>
      <c r="AT144" s="11"/>
      <c r="AU144" s="11"/>
      <c r="AV144" s="11"/>
      <c r="AW144" s="11"/>
      <c r="AX144" s="11"/>
      <c r="AY144" s="11"/>
      <c r="AZ144" s="11"/>
      <c r="BA144" s="11"/>
      <c r="BB144" s="11"/>
      <c r="BC144" s="11"/>
      <c r="BD144" s="11"/>
      <c r="BE144" s="11"/>
      <c r="BF144" s="11"/>
      <c r="BG144" s="11"/>
    </row>
    <row r="145" spans="1:59" ht="15" x14ac:dyDescent="0.2">
      <c r="A145" s="10"/>
      <c r="B145" s="362" t="s">
        <v>560</v>
      </c>
      <c r="C145" s="362"/>
      <c r="D145" s="30" t="s">
        <v>456</v>
      </c>
      <c r="E145" s="228" t="str">
        <f>IF(AND(ISNUMBER(Clocal_soil_TIME1_tier2),ISNUMBER(Ksoil_water)),Clocal_soil_TIME1_tier2*RHOsoil/(Ksoil_water*1000),"??")</f>
        <v>??</v>
      </c>
      <c r="F145" s="19" t="s">
        <v>810</v>
      </c>
      <c r="G145" s="19" t="s">
        <v>8</v>
      </c>
      <c r="H145" s="146" t="s">
        <v>981</v>
      </c>
      <c r="AS145" s="11"/>
      <c r="AT145" s="11"/>
      <c r="AU145" s="11"/>
      <c r="AV145" s="11"/>
      <c r="AW145" s="11"/>
      <c r="AX145" s="11"/>
      <c r="AY145" s="11"/>
      <c r="AZ145" s="11"/>
      <c r="BA145" s="11"/>
      <c r="BB145" s="11"/>
      <c r="BC145" s="11"/>
      <c r="BD145" s="11"/>
      <c r="BE145" s="11"/>
      <c r="BF145" s="11"/>
      <c r="BG145" s="11"/>
    </row>
    <row r="146" spans="1:59" ht="3" customHeight="1" x14ac:dyDescent="0.2">
      <c r="A146" s="10"/>
      <c r="B146" s="332"/>
      <c r="C146" s="332"/>
      <c r="D146" s="30"/>
      <c r="E146" s="7"/>
      <c r="F146" s="19"/>
      <c r="G146" s="19"/>
      <c r="H146" s="146"/>
      <c r="AS146" s="11"/>
      <c r="AT146" s="11"/>
      <c r="AU146" s="11"/>
      <c r="AV146" s="11"/>
      <c r="AW146" s="11"/>
      <c r="AX146" s="11"/>
      <c r="AY146" s="11"/>
      <c r="AZ146" s="11"/>
      <c r="BA146" s="11"/>
      <c r="BB146" s="11"/>
      <c r="BC146" s="11"/>
      <c r="BD146" s="11"/>
      <c r="BE146" s="11"/>
      <c r="BF146" s="11"/>
      <c r="BG146" s="11"/>
    </row>
    <row r="147" spans="1:59" ht="15" x14ac:dyDescent="0.2">
      <c r="A147" s="10"/>
      <c r="B147" s="362" t="s">
        <v>693</v>
      </c>
      <c r="C147" s="362"/>
      <c r="D147" s="30" t="s">
        <v>457</v>
      </c>
      <c r="E147" s="228" t="str">
        <f>IF(AND(ISNUMBER(Clocal_soil_TIME2_tier2),ISNUMBER(Ksoil_water)),Clocal_soil_TIME2_tier2*RHOsoil/(Ksoil_water*1000),"??")</f>
        <v>??</v>
      </c>
      <c r="F147" s="19" t="s">
        <v>810</v>
      </c>
      <c r="G147" s="19" t="s">
        <v>8</v>
      </c>
      <c r="H147" s="146" t="s">
        <v>979</v>
      </c>
      <c r="AS147" s="11"/>
      <c r="AT147" s="11"/>
      <c r="AU147" s="11"/>
      <c r="AV147" s="11"/>
      <c r="AW147" s="11"/>
      <c r="AX147" s="11"/>
      <c r="AY147" s="11"/>
      <c r="AZ147" s="11"/>
      <c r="BA147" s="11"/>
      <c r="BB147" s="11"/>
      <c r="BC147" s="11"/>
      <c r="BD147" s="11"/>
      <c r="BE147" s="11"/>
      <c r="BF147" s="11"/>
      <c r="BG147" s="11"/>
    </row>
    <row r="148" spans="1:59" ht="3" customHeight="1" x14ac:dyDescent="0.2">
      <c r="A148" s="10"/>
      <c r="B148" s="332"/>
      <c r="C148" s="332"/>
      <c r="D148" s="30"/>
      <c r="E148" s="7"/>
      <c r="F148" s="19"/>
      <c r="G148" s="19"/>
      <c r="H148" s="146"/>
      <c r="AS148" s="11"/>
      <c r="AT148" s="11"/>
      <c r="AU148" s="11"/>
      <c r="AV148" s="11"/>
      <c r="AW148" s="11"/>
      <c r="AX148" s="11"/>
      <c r="AY148" s="11"/>
      <c r="AZ148" s="11"/>
      <c r="BA148" s="11"/>
      <c r="BB148" s="11"/>
      <c r="BC148" s="11"/>
      <c r="BD148" s="11"/>
      <c r="BE148" s="11"/>
      <c r="BF148" s="11"/>
      <c r="BG148" s="11"/>
    </row>
    <row r="149" spans="1:59" ht="15" x14ac:dyDescent="0.2">
      <c r="A149" s="10"/>
      <c r="B149" s="362" t="s">
        <v>561</v>
      </c>
      <c r="C149" s="362"/>
      <c r="D149" s="30" t="s">
        <v>692</v>
      </c>
      <c r="E149" s="228" t="str">
        <f>IF(AND(ISNUMBER(Clocal_soil_TIME3_tier2),ISNUMBER(Ksoil_water)),Clocal_soil_TIME3_tier2*RHOsoil/(Ksoil_water*1000),"??")</f>
        <v>??</v>
      </c>
      <c r="F149" s="19" t="s">
        <v>810</v>
      </c>
      <c r="G149" s="19" t="s">
        <v>8</v>
      </c>
      <c r="H149" s="146" t="s">
        <v>980</v>
      </c>
      <c r="AS149" s="11"/>
      <c r="AT149" s="11"/>
      <c r="AU149" s="11"/>
      <c r="AV149" s="11"/>
      <c r="AW149" s="11"/>
      <c r="AX149" s="11"/>
      <c r="AY149" s="11"/>
      <c r="AZ149" s="11"/>
      <c r="BA149" s="11"/>
      <c r="BB149" s="11"/>
      <c r="BC149" s="11"/>
      <c r="BD149" s="11"/>
      <c r="BE149" s="11"/>
      <c r="BF149" s="11"/>
      <c r="BG149" s="11"/>
    </row>
    <row r="150" spans="1:59" x14ac:dyDescent="0.2">
      <c r="A150" s="10"/>
      <c r="B150" s="333"/>
      <c r="C150" s="29"/>
      <c r="D150" s="29"/>
      <c r="E150" s="7"/>
      <c r="F150" s="7"/>
      <c r="G150" s="19"/>
      <c r="H150" s="41"/>
      <c r="AS150" s="11"/>
      <c r="AT150" s="11"/>
      <c r="AU150" s="11"/>
      <c r="AV150" s="11"/>
      <c r="AW150" s="11"/>
      <c r="AX150" s="11"/>
      <c r="AY150" s="11"/>
      <c r="AZ150" s="11"/>
      <c r="BA150" s="11"/>
      <c r="BB150" s="11"/>
      <c r="BC150" s="11"/>
      <c r="BD150" s="11"/>
      <c r="BE150" s="11"/>
      <c r="BF150" s="11"/>
      <c r="BG150" s="11"/>
    </row>
    <row r="151" spans="1:59" s="8" customFormat="1" x14ac:dyDescent="0.2">
      <c r="B151" s="86" t="s">
        <v>12</v>
      </c>
      <c r="F151" s="74"/>
      <c r="G151" s="74"/>
      <c r="H151" s="85"/>
    </row>
    <row r="152" spans="1:59" s="8" customFormat="1" x14ac:dyDescent="0.2">
      <c r="B152" s="86"/>
      <c r="F152" s="74"/>
      <c r="G152" s="74"/>
      <c r="H152" s="85"/>
    </row>
    <row r="153" spans="1:59" s="10" customFormat="1" x14ac:dyDescent="0.2">
      <c r="B153" s="307" t="s">
        <v>818</v>
      </c>
      <c r="D153" s="61"/>
    </row>
    <row r="154" spans="1:59" s="10" customFormat="1" x14ac:dyDescent="0.2">
      <c r="D154" s="61"/>
    </row>
    <row r="155" spans="1:59" s="10" customFormat="1" x14ac:dyDescent="0.2">
      <c r="D155" s="61"/>
    </row>
    <row r="156" spans="1:59" s="10" customFormat="1" x14ac:dyDescent="0.2">
      <c r="D156" s="61"/>
    </row>
    <row r="157" spans="1:59" s="8" customFormat="1" x14ac:dyDescent="0.2">
      <c r="D157" s="85"/>
    </row>
    <row r="158" spans="1:59" s="8" customFormat="1" x14ac:dyDescent="0.2">
      <c r="D158" s="85"/>
    </row>
    <row r="159" spans="1:59" s="8" customFormat="1" x14ac:dyDescent="0.2">
      <c r="D159" s="85"/>
    </row>
    <row r="160" spans="1:59" s="8" customFormat="1" x14ac:dyDescent="0.2">
      <c r="D160" s="85"/>
    </row>
    <row r="161" spans="4:4" s="8" customFormat="1" x14ac:dyDescent="0.2">
      <c r="D161" s="85"/>
    </row>
    <row r="162" spans="4:4" s="8" customFormat="1" x14ac:dyDescent="0.2">
      <c r="D162" s="85"/>
    </row>
    <row r="163" spans="4:4" s="8" customFormat="1" x14ac:dyDescent="0.2">
      <c r="D163" s="85"/>
    </row>
    <row r="164" spans="4:4" s="8" customFormat="1" x14ac:dyDescent="0.2">
      <c r="D164" s="85"/>
    </row>
    <row r="165" spans="4:4" s="8" customFormat="1" x14ac:dyDescent="0.2">
      <c r="D165" s="85"/>
    </row>
    <row r="166" spans="4:4" s="8" customFormat="1" x14ac:dyDescent="0.2">
      <c r="D166" s="85"/>
    </row>
    <row r="167" spans="4:4" s="8" customFormat="1" x14ac:dyDescent="0.2">
      <c r="D167" s="85"/>
    </row>
    <row r="168" spans="4:4" s="8" customFormat="1" x14ac:dyDescent="0.2">
      <c r="D168" s="85"/>
    </row>
    <row r="169" spans="4:4" s="8" customFormat="1" x14ac:dyDescent="0.2">
      <c r="D169" s="85"/>
    </row>
    <row r="170" spans="4:4" s="8" customFormat="1" x14ac:dyDescent="0.2">
      <c r="D170" s="85"/>
    </row>
    <row r="171" spans="4:4" s="8" customFormat="1" x14ac:dyDescent="0.2">
      <c r="D171" s="85"/>
    </row>
    <row r="172" spans="4:4" s="8" customFormat="1" x14ac:dyDescent="0.2">
      <c r="D172" s="85"/>
    </row>
    <row r="173" spans="4:4" s="8" customFormat="1" x14ac:dyDescent="0.2">
      <c r="D173" s="85"/>
    </row>
    <row r="174" spans="4:4" s="8" customFormat="1" x14ac:dyDescent="0.2">
      <c r="D174" s="85"/>
    </row>
    <row r="175" spans="4:4" s="8" customFormat="1" x14ac:dyDescent="0.2">
      <c r="D175" s="85"/>
    </row>
    <row r="176" spans="4:4" s="8" customFormat="1" x14ac:dyDescent="0.2">
      <c r="D176" s="85"/>
    </row>
    <row r="177" spans="4:4" s="8" customFormat="1" x14ac:dyDescent="0.2">
      <c r="D177" s="85"/>
    </row>
    <row r="178" spans="4:4" s="8" customFormat="1" x14ac:dyDescent="0.2">
      <c r="D178" s="85"/>
    </row>
    <row r="179" spans="4:4" s="8" customFormat="1" x14ac:dyDescent="0.2">
      <c r="D179" s="85"/>
    </row>
    <row r="180" spans="4:4" s="8" customFormat="1" x14ac:dyDescent="0.2">
      <c r="D180" s="85"/>
    </row>
    <row r="181" spans="4:4" s="8" customFormat="1" x14ac:dyDescent="0.2">
      <c r="D181" s="85"/>
    </row>
    <row r="182" spans="4:4" s="8" customFormat="1" x14ac:dyDescent="0.2">
      <c r="D182" s="85"/>
    </row>
    <row r="183" spans="4:4" s="8" customFormat="1" x14ac:dyDescent="0.2">
      <c r="D183" s="85"/>
    </row>
    <row r="184" spans="4:4" s="8" customFormat="1" x14ac:dyDescent="0.2">
      <c r="D184" s="85"/>
    </row>
    <row r="185" spans="4:4" s="8" customFormat="1" x14ac:dyDescent="0.2">
      <c r="D185" s="85"/>
    </row>
    <row r="186" spans="4:4" s="8" customFormat="1" x14ac:dyDescent="0.2">
      <c r="D186" s="85"/>
    </row>
    <row r="187" spans="4:4" s="8" customFormat="1" x14ac:dyDescent="0.2">
      <c r="D187" s="85"/>
    </row>
    <row r="188" spans="4:4" s="8" customFormat="1" x14ac:dyDescent="0.2">
      <c r="D188" s="85"/>
    </row>
    <row r="189" spans="4:4" s="8" customFormat="1" x14ac:dyDescent="0.2">
      <c r="D189" s="85"/>
    </row>
    <row r="190" spans="4:4" s="8" customFormat="1" x14ac:dyDescent="0.2">
      <c r="D190" s="85"/>
    </row>
    <row r="191" spans="4:4" s="8" customFormat="1" x14ac:dyDescent="0.2">
      <c r="D191" s="85"/>
    </row>
    <row r="192" spans="4:4" s="8" customFormat="1" x14ac:dyDescent="0.2">
      <c r="D192" s="85"/>
    </row>
    <row r="193" spans="4:4" s="8" customFormat="1" x14ac:dyDescent="0.2">
      <c r="D193" s="85"/>
    </row>
    <row r="194" spans="4:4" s="8" customFormat="1" x14ac:dyDescent="0.2">
      <c r="D194" s="85"/>
    </row>
    <row r="195" spans="4:4" s="8" customFormat="1" x14ac:dyDescent="0.2">
      <c r="D195" s="85"/>
    </row>
    <row r="196" spans="4:4" s="8" customFormat="1" x14ac:dyDescent="0.2">
      <c r="D196" s="85"/>
    </row>
    <row r="197" spans="4:4" s="8" customFormat="1" x14ac:dyDescent="0.2">
      <c r="D197" s="85"/>
    </row>
    <row r="198" spans="4:4" s="8" customFormat="1" x14ac:dyDescent="0.2">
      <c r="D198" s="85"/>
    </row>
    <row r="199" spans="4:4" s="8" customFormat="1" x14ac:dyDescent="0.2">
      <c r="D199" s="85"/>
    </row>
    <row r="200" spans="4:4" s="8" customFormat="1" x14ac:dyDescent="0.2">
      <c r="D200" s="85"/>
    </row>
    <row r="201" spans="4:4" s="8" customFormat="1" x14ac:dyDescent="0.2">
      <c r="D201" s="85"/>
    </row>
    <row r="202" spans="4:4" s="8" customFormat="1" x14ac:dyDescent="0.2">
      <c r="D202" s="85"/>
    </row>
    <row r="203" spans="4:4" s="8" customFormat="1" x14ac:dyDescent="0.2">
      <c r="D203" s="85"/>
    </row>
    <row r="204" spans="4:4" s="8" customFormat="1" x14ac:dyDescent="0.2">
      <c r="D204" s="85"/>
    </row>
    <row r="205" spans="4:4" s="8" customFormat="1" x14ac:dyDescent="0.2">
      <c r="D205" s="85"/>
    </row>
    <row r="206" spans="4:4" s="8" customFormat="1" x14ac:dyDescent="0.2">
      <c r="D206" s="85"/>
    </row>
    <row r="207" spans="4:4" s="8" customFormat="1" x14ac:dyDescent="0.2">
      <c r="D207" s="85"/>
    </row>
    <row r="208" spans="4:4" s="8" customFormat="1" x14ac:dyDescent="0.2">
      <c r="D208" s="85"/>
    </row>
    <row r="209" spans="4:4" s="8" customFormat="1" x14ac:dyDescent="0.2">
      <c r="D209" s="85"/>
    </row>
    <row r="210" spans="4:4" s="8" customFormat="1" x14ac:dyDescent="0.2">
      <c r="D210" s="85"/>
    </row>
    <row r="211" spans="4:4" s="8" customFormat="1" x14ac:dyDescent="0.2">
      <c r="D211" s="85"/>
    </row>
    <row r="212" spans="4:4" s="8" customFormat="1" x14ac:dyDescent="0.2">
      <c r="D212" s="85"/>
    </row>
    <row r="213" spans="4:4" s="8" customFormat="1" x14ac:dyDescent="0.2">
      <c r="D213" s="85"/>
    </row>
    <row r="214" spans="4:4" s="8" customFormat="1" x14ac:dyDescent="0.2">
      <c r="D214" s="85"/>
    </row>
    <row r="215" spans="4:4" s="8" customFormat="1" x14ac:dyDescent="0.2">
      <c r="D215" s="85"/>
    </row>
    <row r="216" spans="4:4" s="8" customFormat="1" x14ac:dyDescent="0.2">
      <c r="D216" s="85"/>
    </row>
    <row r="217" spans="4:4" s="8" customFormat="1" x14ac:dyDescent="0.2">
      <c r="D217" s="85"/>
    </row>
    <row r="218" spans="4:4" s="8" customFormat="1" x14ac:dyDescent="0.2">
      <c r="D218" s="85"/>
    </row>
    <row r="219" spans="4:4" s="8" customFormat="1" x14ac:dyDescent="0.2">
      <c r="D219" s="85"/>
    </row>
    <row r="220" spans="4:4" s="8" customFormat="1" x14ac:dyDescent="0.2">
      <c r="D220" s="85"/>
    </row>
    <row r="221" spans="4:4" s="8" customFormat="1" x14ac:dyDescent="0.2">
      <c r="D221" s="85"/>
    </row>
    <row r="222" spans="4:4" s="8" customFormat="1" x14ac:dyDescent="0.2">
      <c r="D222" s="85"/>
    </row>
    <row r="223" spans="4:4" s="8" customFormat="1" x14ac:dyDescent="0.2">
      <c r="D223" s="85"/>
    </row>
    <row r="224" spans="4:4" s="8" customFormat="1" x14ac:dyDescent="0.2">
      <c r="D224" s="85"/>
    </row>
    <row r="225" spans="4:4" s="8" customFormat="1" x14ac:dyDescent="0.2">
      <c r="D225" s="85"/>
    </row>
    <row r="226" spans="4:4" s="8" customFormat="1" x14ac:dyDescent="0.2">
      <c r="D226" s="85"/>
    </row>
    <row r="227" spans="4:4" s="8" customFormat="1" x14ac:dyDescent="0.2">
      <c r="D227" s="85"/>
    </row>
    <row r="228" spans="4:4" s="8" customFormat="1" x14ac:dyDescent="0.2">
      <c r="D228" s="85"/>
    </row>
    <row r="229" spans="4:4" s="8" customFormat="1" x14ac:dyDescent="0.2">
      <c r="D229" s="85"/>
    </row>
    <row r="230" spans="4:4" s="8" customFormat="1" x14ac:dyDescent="0.2">
      <c r="D230" s="85"/>
    </row>
    <row r="231" spans="4:4" s="8" customFormat="1" x14ac:dyDescent="0.2">
      <c r="D231" s="85"/>
    </row>
    <row r="232" spans="4:4" s="8" customFormat="1" x14ac:dyDescent="0.2">
      <c r="D232" s="85"/>
    </row>
    <row r="233" spans="4:4" s="8" customFormat="1" x14ac:dyDescent="0.2">
      <c r="D233" s="85"/>
    </row>
    <row r="234" spans="4:4" s="8" customFormat="1" x14ac:dyDescent="0.2">
      <c r="D234" s="85"/>
    </row>
    <row r="235" spans="4:4" s="8" customFormat="1" x14ac:dyDescent="0.2">
      <c r="D235" s="85"/>
    </row>
    <row r="236" spans="4:4" s="8" customFormat="1" x14ac:dyDescent="0.2">
      <c r="D236" s="85"/>
    </row>
    <row r="237" spans="4:4" s="8" customFormat="1" x14ac:dyDescent="0.2">
      <c r="D237" s="85"/>
    </row>
    <row r="238" spans="4:4" s="8" customFormat="1" x14ac:dyDescent="0.2">
      <c r="D238" s="85"/>
    </row>
    <row r="239" spans="4:4" s="8" customFormat="1" x14ac:dyDescent="0.2">
      <c r="D239" s="85"/>
    </row>
    <row r="240" spans="4:4" s="8" customFormat="1" x14ac:dyDescent="0.2">
      <c r="D240" s="85"/>
    </row>
    <row r="241" spans="4:4" s="8" customFormat="1" x14ac:dyDescent="0.2">
      <c r="D241" s="85"/>
    </row>
    <row r="242" spans="4:4" s="8" customFormat="1" x14ac:dyDescent="0.2">
      <c r="D242" s="85"/>
    </row>
    <row r="243" spans="4:4" s="8" customFormat="1" x14ac:dyDescent="0.2">
      <c r="D243" s="85"/>
    </row>
    <row r="244" spans="4:4" s="8" customFormat="1" x14ac:dyDescent="0.2">
      <c r="D244" s="85"/>
    </row>
    <row r="245" spans="4:4" s="8" customFormat="1" x14ac:dyDescent="0.2">
      <c r="D245" s="85"/>
    </row>
    <row r="246" spans="4:4" s="8" customFormat="1" x14ac:dyDescent="0.2">
      <c r="D246" s="85"/>
    </row>
    <row r="247" spans="4:4" s="8" customFormat="1" x14ac:dyDescent="0.2">
      <c r="D247" s="85"/>
    </row>
    <row r="248" spans="4:4" s="8" customFormat="1" x14ac:dyDescent="0.2">
      <c r="D248" s="85"/>
    </row>
    <row r="249" spans="4:4" s="8" customFormat="1" x14ac:dyDescent="0.2">
      <c r="D249" s="85"/>
    </row>
    <row r="250" spans="4:4" s="8" customFormat="1" x14ac:dyDescent="0.2">
      <c r="D250" s="85"/>
    </row>
    <row r="251" spans="4:4" s="8" customFormat="1" x14ac:dyDescent="0.2">
      <c r="D251" s="85"/>
    </row>
    <row r="252" spans="4:4" s="8" customFormat="1" x14ac:dyDescent="0.2">
      <c r="D252" s="85"/>
    </row>
    <row r="253" spans="4:4" s="8" customFormat="1" x14ac:dyDescent="0.2">
      <c r="D253" s="85"/>
    </row>
    <row r="254" spans="4:4" s="8" customFormat="1" x14ac:dyDescent="0.2">
      <c r="D254" s="85"/>
    </row>
    <row r="255" spans="4:4" s="8" customFormat="1" x14ac:dyDescent="0.2">
      <c r="D255" s="85"/>
    </row>
    <row r="256" spans="4:4" s="8" customFormat="1" x14ac:dyDescent="0.2">
      <c r="D256" s="85"/>
    </row>
    <row r="257" spans="4:4" s="8" customFormat="1" x14ac:dyDescent="0.2">
      <c r="D257" s="85"/>
    </row>
    <row r="258" spans="4:4" s="8" customFormat="1" x14ac:dyDescent="0.2">
      <c r="D258" s="85"/>
    </row>
    <row r="259" spans="4:4" s="8" customFormat="1" x14ac:dyDescent="0.2">
      <c r="D259" s="85"/>
    </row>
    <row r="260" spans="4:4" s="8" customFormat="1" x14ac:dyDescent="0.2">
      <c r="D260" s="85"/>
    </row>
    <row r="261" spans="4:4" s="8" customFormat="1" x14ac:dyDescent="0.2">
      <c r="D261" s="85"/>
    </row>
    <row r="262" spans="4:4" s="8" customFormat="1" x14ac:dyDescent="0.2">
      <c r="D262" s="85"/>
    </row>
    <row r="263" spans="4:4" s="8" customFormat="1" x14ac:dyDescent="0.2">
      <c r="D263" s="85"/>
    </row>
    <row r="264" spans="4:4" s="8" customFormat="1" x14ac:dyDescent="0.2">
      <c r="D264" s="85"/>
    </row>
    <row r="265" spans="4:4" s="8" customFormat="1" x14ac:dyDescent="0.2">
      <c r="D265" s="85"/>
    </row>
    <row r="266" spans="4:4" s="8" customFormat="1" x14ac:dyDescent="0.2">
      <c r="D266" s="85"/>
    </row>
    <row r="267" spans="4:4" s="8" customFormat="1" x14ac:dyDescent="0.2">
      <c r="D267" s="85"/>
    </row>
    <row r="268" spans="4:4" s="8" customFormat="1" x14ac:dyDescent="0.2">
      <c r="D268" s="85"/>
    </row>
    <row r="269" spans="4:4" s="8" customFormat="1" x14ac:dyDescent="0.2">
      <c r="D269" s="85"/>
    </row>
    <row r="270" spans="4:4" s="8" customFormat="1" x14ac:dyDescent="0.2">
      <c r="D270" s="85"/>
    </row>
    <row r="271" spans="4:4" s="8" customFormat="1" x14ac:dyDescent="0.2">
      <c r="D271" s="85"/>
    </row>
    <row r="272" spans="4:4" s="8" customFormat="1" x14ac:dyDescent="0.2">
      <c r="D272" s="85"/>
    </row>
    <row r="273" spans="4:4" s="8" customFormat="1" x14ac:dyDescent="0.2">
      <c r="D273" s="85"/>
    </row>
    <row r="274" spans="4:4" s="8" customFormat="1" x14ac:dyDescent="0.2">
      <c r="D274" s="85"/>
    </row>
    <row r="275" spans="4:4" s="8" customFormat="1" x14ac:dyDescent="0.2">
      <c r="D275" s="85"/>
    </row>
    <row r="276" spans="4:4" s="8" customFormat="1" x14ac:dyDescent="0.2">
      <c r="D276" s="85"/>
    </row>
    <row r="277" spans="4:4" s="8" customFormat="1" x14ac:dyDescent="0.2">
      <c r="D277" s="85"/>
    </row>
    <row r="278" spans="4:4" s="8" customFormat="1" x14ac:dyDescent="0.2">
      <c r="D278" s="85"/>
    </row>
    <row r="279" spans="4:4" s="8" customFormat="1" x14ac:dyDescent="0.2">
      <c r="D279" s="85"/>
    </row>
    <row r="280" spans="4:4" s="8" customFormat="1" x14ac:dyDescent="0.2">
      <c r="D280" s="85"/>
    </row>
    <row r="281" spans="4:4" s="8" customFormat="1" x14ac:dyDescent="0.2">
      <c r="D281" s="85"/>
    </row>
    <row r="282" spans="4:4" s="8" customFormat="1" x14ac:dyDescent="0.2">
      <c r="D282" s="85"/>
    </row>
    <row r="283" spans="4:4" s="8" customFormat="1" x14ac:dyDescent="0.2">
      <c r="D283" s="85"/>
    </row>
    <row r="284" spans="4:4" s="8" customFormat="1" x14ac:dyDescent="0.2">
      <c r="D284" s="85"/>
    </row>
    <row r="285" spans="4:4" s="8" customFormat="1" x14ac:dyDescent="0.2">
      <c r="D285" s="85"/>
    </row>
    <row r="286" spans="4:4" s="8" customFormat="1" x14ac:dyDescent="0.2">
      <c r="D286" s="85"/>
    </row>
    <row r="287" spans="4:4" s="8" customFormat="1" x14ac:dyDescent="0.2">
      <c r="D287" s="85"/>
    </row>
    <row r="288" spans="4:4" s="8" customFormat="1" x14ac:dyDescent="0.2">
      <c r="D288" s="85"/>
    </row>
    <row r="289" spans="4:4" s="8" customFormat="1" x14ac:dyDescent="0.2">
      <c r="D289" s="85"/>
    </row>
    <row r="290" spans="4:4" s="8" customFormat="1" x14ac:dyDescent="0.2">
      <c r="D290" s="85"/>
    </row>
    <row r="291" spans="4:4" s="8" customFormat="1" x14ac:dyDescent="0.2">
      <c r="D291" s="85"/>
    </row>
    <row r="292" spans="4:4" s="8" customFormat="1" x14ac:dyDescent="0.2">
      <c r="D292" s="85"/>
    </row>
    <row r="293" spans="4:4" s="8" customFormat="1" x14ac:dyDescent="0.2">
      <c r="D293" s="85"/>
    </row>
    <row r="294" spans="4:4" s="8" customFormat="1" x14ac:dyDescent="0.2">
      <c r="D294" s="85"/>
    </row>
    <row r="295" spans="4:4" s="8" customFormat="1" x14ac:dyDescent="0.2">
      <c r="D295" s="85"/>
    </row>
    <row r="296" spans="4:4" s="8" customFormat="1" x14ac:dyDescent="0.2">
      <c r="D296" s="85"/>
    </row>
    <row r="297" spans="4:4" s="8" customFormat="1" x14ac:dyDescent="0.2">
      <c r="D297" s="85"/>
    </row>
    <row r="298" spans="4:4" s="8" customFormat="1" x14ac:dyDescent="0.2">
      <c r="D298" s="85"/>
    </row>
    <row r="299" spans="4:4" s="8" customFormat="1" x14ac:dyDescent="0.2">
      <c r="D299" s="85"/>
    </row>
    <row r="300" spans="4:4" s="8" customFormat="1" x14ac:dyDescent="0.2">
      <c r="D300" s="85"/>
    </row>
    <row r="301" spans="4:4" s="8" customFormat="1" x14ac:dyDescent="0.2">
      <c r="D301" s="85"/>
    </row>
    <row r="302" spans="4:4" s="8" customFormat="1" x14ac:dyDescent="0.2">
      <c r="D302" s="85"/>
    </row>
    <row r="303" spans="4:4" s="8" customFormat="1" x14ac:dyDescent="0.2">
      <c r="D303" s="85"/>
    </row>
    <row r="304" spans="4:4" s="8" customFormat="1" x14ac:dyDescent="0.2">
      <c r="D304" s="85"/>
    </row>
    <row r="305" spans="4:4" s="8" customFormat="1" x14ac:dyDescent="0.2">
      <c r="D305" s="85"/>
    </row>
    <row r="306" spans="4:4" s="8" customFormat="1" x14ac:dyDescent="0.2">
      <c r="D306" s="85"/>
    </row>
    <row r="307" spans="4:4" s="8" customFormat="1" x14ac:dyDescent="0.2">
      <c r="D307" s="85"/>
    </row>
    <row r="308" spans="4:4" s="8" customFormat="1" x14ac:dyDescent="0.2">
      <c r="D308" s="85"/>
    </row>
    <row r="309" spans="4:4" s="8" customFormat="1" x14ac:dyDescent="0.2">
      <c r="D309" s="85"/>
    </row>
    <row r="310" spans="4:4" s="8" customFormat="1" x14ac:dyDescent="0.2">
      <c r="D310" s="85"/>
    </row>
    <row r="311" spans="4:4" s="8" customFormat="1" x14ac:dyDescent="0.2">
      <c r="D311" s="85"/>
    </row>
    <row r="312" spans="4:4" s="8" customFormat="1" x14ac:dyDescent="0.2">
      <c r="D312" s="85"/>
    </row>
    <row r="313" spans="4:4" s="8" customFormat="1" x14ac:dyDescent="0.2">
      <c r="D313" s="85"/>
    </row>
    <row r="314" spans="4:4" s="8" customFormat="1" x14ac:dyDescent="0.2">
      <c r="D314" s="85"/>
    </row>
    <row r="315" spans="4:4" s="8" customFormat="1" x14ac:dyDescent="0.2">
      <c r="D315" s="85"/>
    </row>
    <row r="316" spans="4:4" s="8" customFormat="1" x14ac:dyDescent="0.2">
      <c r="D316" s="85"/>
    </row>
    <row r="317" spans="4:4" s="8" customFormat="1" x14ac:dyDescent="0.2">
      <c r="D317" s="85"/>
    </row>
    <row r="318" spans="4:4" s="8" customFormat="1" x14ac:dyDescent="0.2">
      <c r="D318" s="85"/>
    </row>
    <row r="319" spans="4:4" s="8" customFormat="1" x14ac:dyDescent="0.2">
      <c r="D319" s="85"/>
    </row>
    <row r="320" spans="4:4" s="8" customFormat="1" x14ac:dyDescent="0.2">
      <c r="D320" s="85"/>
    </row>
    <row r="321" spans="4:4" s="8" customFormat="1" x14ac:dyDescent="0.2">
      <c r="D321" s="85"/>
    </row>
    <row r="322" spans="4:4" s="8" customFormat="1" x14ac:dyDescent="0.2">
      <c r="D322" s="85"/>
    </row>
    <row r="323" spans="4:4" s="8" customFormat="1" x14ac:dyDescent="0.2">
      <c r="D323" s="85"/>
    </row>
    <row r="324" spans="4:4" s="8" customFormat="1" x14ac:dyDescent="0.2">
      <c r="D324" s="85"/>
    </row>
    <row r="325" spans="4:4" s="8" customFormat="1" x14ac:dyDescent="0.2">
      <c r="D325" s="85"/>
    </row>
    <row r="326" spans="4:4" s="8" customFormat="1" x14ac:dyDescent="0.2">
      <c r="D326" s="85"/>
    </row>
    <row r="327" spans="4:4" s="8" customFormat="1" x14ac:dyDescent="0.2">
      <c r="D327" s="85"/>
    </row>
    <row r="328" spans="4:4" s="8" customFormat="1" x14ac:dyDescent="0.2">
      <c r="D328" s="85"/>
    </row>
    <row r="329" spans="4:4" s="8" customFormat="1" x14ac:dyDescent="0.2">
      <c r="D329" s="85"/>
    </row>
    <row r="330" spans="4:4" s="8" customFormat="1" x14ac:dyDescent="0.2">
      <c r="D330" s="85"/>
    </row>
    <row r="331" spans="4:4" s="8" customFormat="1" x14ac:dyDescent="0.2">
      <c r="D331" s="85"/>
    </row>
    <row r="332" spans="4:4" s="8" customFormat="1" x14ac:dyDescent="0.2">
      <c r="D332" s="85"/>
    </row>
    <row r="333" spans="4:4" s="8" customFormat="1" x14ac:dyDescent="0.2">
      <c r="D333" s="85"/>
    </row>
    <row r="334" spans="4:4" s="8" customFormat="1" x14ac:dyDescent="0.2">
      <c r="D334" s="85"/>
    </row>
    <row r="335" spans="4:4" s="8" customFormat="1" x14ac:dyDescent="0.2">
      <c r="D335" s="85"/>
    </row>
    <row r="336" spans="4:4" s="8" customFormat="1" x14ac:dyDescent="0.2">
      <c r="D336" s="85"/>
    </row>
    <row r="337" spans="4:4" s="8" customFormat="1" x14ac:dyDescent="0.2">
      <c r="D337" s="85"/>
    </row>
    <row r="338" spans="4:4" s="8" customFormat="1" x14ac:dyDescent="0.2">
      <c r="D338" s="85"/>
    </row>
    <row r="339" spans="4:4" s="8" customFormat="1" x14ac:dyDescent="0.2">
      <c r="D339" s="85"/>
    </row>
    <row r="340" spans="4:4" s="8" customFormat="1" x14ac:dyDescent="0.2">
      <c r="D340" s="85"/>
    </row>
    <row r="341" spans="4:4" s="8" customFormat="1" x14ac:dyDescent="0.2">
      <c r="D341" s="85"/>
    </row>
    <row r="342" spans="4:4" s="8" customFormat="1" x14ac:dyDescent="0.2">
      <c r="D342" s="85"/>
    </row>
    <row r="343" spans="4:4" s="8" customFormat="1" x14ac:dyDescent="0.2">
      <c r="D343" s="85"/>
    </row>
    <row r="344" spans="4:4" s="8" customFormat="1" x14ac:dyDescent="0.2">
      <c r="D344" s="85"/>
    </row>
    <row r="345" spans="4:4" s="8" customFormat="1" x14ac:dyDescent="0.2">
      <c r="D345" s="85"/>
    </row>
    <row r="346" spans="4:4" s="8" customFormat="1" x14ac:dyDescent="0.2">
      <c r="D346" s="85"/>
    </row>
    <row r="347" spans="4:4" s="8" customFormat="1" x14ac:dyDescent="0.2">
      <c r="D347" s="85"/>
    </row>
    <row r="348" spans="4:4" s="8" customFormat="1" x14ac:dyDescent="0.2">
      <c r="D348" s="85"/>
    </row>
    <row r="349" spans="4:4" s="8" customFormat="1" x14ac:dyDescent="0.2">
      <c r="D349" s="85"/>
    </row>
    <row r="350" spans="4:4" s="8" customFormat="1" x14ac:dyDescent="0.2">
      <c r="D350" s="85"/>
    </row>
    <row r="351" spans="4:4" s="8" customFormat="1" x14ac:dyDescent="0.2">
      <c r="D351" s="85"/>
    </row>
    <row r="352" spans="4:4" s="8" customFormat="1" x14ac:dyDescent="0.2">
      <c r="D352" s="85"/>
    </row>
    <row r="353" spans="4:4" s="8" customFormat="1" x14ac:dyDescent="0.2">
      <c r="D353" s="85"/>
    </row>
    <row r="354" spans="4:4" s="8" customFormat="1" x14ac:dyDescent="0.2">
      <c r="D354" s="85"/>
    </row>
    <row r="355" spans="4:4" s="8" customFormat="1" x14ac:dyDescent="0.2">
      <c r="D355" s="85"/>
    </row>
    <row r="356" spans="4:4" s="8" customFormat="1" x14ac:dyDescent="0.2">
      <c r="D356" s="85"/>
    </row>
    <row r="357" spans="4:4" s="8" customFormat="1" x14ac:dyDescent="0.2">
      <c r="D357" s="85"/>
    </row>
    <row r="358" spans="4:4" s="8" customFormat="1" x14ac:dyDescent="0.2">
      <c r="D358" s="85"/>
    </row>
    <row r="359" spans="4:4" s="8" customFormat="1" x14ac:dyDescent="0.2">
      <c r="D359" s="85"/>
    </row>
    <row r="360" spans="4:4" s="8" customFormat="1" x14ac:dyDescent="0.2">
      <c r="D360" s="85"/>
    </row>
    <row r="361" spans="4:4" s="8" customFormat="1" x14ac:dyDescent="0.2">
      <c r="D361" s="85"/>
    </row>
    <row r="362" spans="4:4" s="8" customFormat="1" x14ac:dyDescent="0.2">
      <c r="D362" s="85"/>
    </row>
    <row r="363" spans="4:4" s="8" customFormat="1" x14ac:dyDescent="0.2">
      <c r="D363" s="85"/>
    </row>
    <row r="364" spans="4:4" s="8" customFormat="1" x14ac:dyDescent="0.2">
      <c r="D364" s="85"/>
    </row>
    <row r="365" spans="4:4" s="8" customFormat="1" x14ac:dyDescent="0.2">
      <c r="D365" s="85"/>
    </row>
    <row r="366" spans="4:4" s="8" customFormat="1" x14ac:dyDescent="0.2">
      <c r="D366" s="85"/>
    </row>
    <row r="367" spans="4:4" s="8" customFormat="1" x14ac:dyDescent="0.2">
      <c r="D367" s="85"/>
    </row>
    <row r="368" spans="4:4" s="8" customFormat="1" x14ac:dyDescent="0.2">
      <c r="D368" s="85"/>
    </row>
    <row r="369" spans="4:4" s="8" customFormat="1" x14ac:dyDescent="0.2">
      <c r="D369" s="85"/>
    </row>
    <row r="370" spans="4:4" s="8" customFormat="1" x14ac:dyDescent="0.2">
      <c r="D370" s="85"/>
    </row>
    <row r="371" spans="4:4" s="8" customFormat="1" x14ac:dyDescent="0.2">
      <c r="D371" s="85"/>
    </row>
    <row r="372" spans="4:4" s="8" customFormat="1" x14ac:dyDescent="0.2">
      <c r="D372" s="85"/>
    </row>
    <row r="373" spans="4:4" s="8" customFormat="1" x14ac:dyDescent="0.2">
      <c r="D373" s="85"/>
    </row>
    <row r="374" spans="4:4" s="8" customFormat="1" x14ac:dyDescent="0.2">
      <c r="D374" s="85"/>
    </row>
    <row r="375" spans="4:4" s="8" customFormat="1" x14ac:dyDescent="0.2">
      <c r="D375" s="85"/>
    </row>
    <row r="376" spans="4:4" s="8" customFormat="1" x14ac:dyDescent="0.2">
      <c r="D376" s="85"/>
    </row>
    <row r="377" spans="4:4" s="8" customFormat="1" x14ac:dyDescent="0.2">
      <c r="D377" s="85"/>
    </row>
    <row r="378" spans="4:4" s="8" customFormat="1" x14ac:dyDescent="0.2">
      <c r="D378" s="85"/>
    </row>
    <row r="379" spans="4:4" s="8" customFormat="1" x14ac:dyDescent="0.2">
      <c r="D379" s="85"/>
    </row>
    <row r="380" spans="4:4" s="8" customFormat="1" x14ac:dyDescent="0.2">
      <c r="D380" s="85"/>
    </row>
    <row r="381" spans="4:4" s="8" customFormat="1" x14ac:dyDescent="0.2">
      <c r="D381" s="85"/>
    </row>
    <row r="382" spans="4:4" s="8" customFormat="1" x14ac:dyDescent="0.2">
      <c r="D382" s="85"/>
    </row>
    <row r="383" spans="4:4" s="8" customFormat="1" x14ac:dyDescent="0.2">
      <c r="D383" s="85"/>
    </row>
    <row r="384" spans="4:4" s="8" customFormat="1" x14ac:dyDescent="0.2">
      <c r="D384" s="85"/>
    </row>
    <row r="385" spans="4:4" s="8" customFormat="1" x14ac:dyDescent="0.2">
      <c r="D385" s="85"/>
    </row>
    <row r="386" spans="4:4" s="8" customFormat="1" x14ac:dyDescent="0.2">
      <c r="D386" s="85"/>
    </row>
    <row r="387" spans="4:4" s="8" customFormat="1" x14ac:dyDescent="0.2">
      <c r="D387" s="85"/>
    </row>
    <row r="388" spans="4:4" s="8" customFormat="1" x14ac:dyDescent="0.2">
      <c r="D388" s="85"/>
    </row>
    <row r="389" spans="4:4" s="8" customFormat="1" x14ac:dyDescent="0.2">
      <c r="D389" s="85"/>
    </row>
    <row r="390" spans="4:4" s="8" customFormat="1" x14ac:dyDescent="0.2">
      <c r="D390" s="85"/>
    </row>
    <row r="391" spans="4:4" s="8" customFormat="1" x14ac:dyDescent="0.2">
      <c r="D391" s="85"/>
    </row>
    <row r="392" spans="4:4" s="8" customFormat="1" x14ac:dyDescent="0.2">
      <c r="D392" s="85"/>
    </row>
    <row r="393" spans="4:4" s="8" customFormat="1" x14ac:dyDescent="0.2">
      <c r="D393" s="85"/>
    </row>
    <row r="394" spans="4:4" s="8" customFormat="1" x14ac:dyDescent="0.2">
      <c r="D394" s="85"/>
    </row>
    <row r="395" spans="4:4" s="8" customFormat="1" x14ac:dyDescent="0.2">
      <c r="D395" s="85"/>
    </row>
    <row r="396" spans="4:4" s="8" customFormat="1" x14ac:dyDescent="0.2">
      <c r="D396" s="85"/>
    </row>
    <row r="397" spans="4:4" s="8" customFormat="1" x14ac:dyDescent="0.2">
      <c r="D397" s="85"/>
    </row>
    <row r="398" spans="4:4" s="8" customFormat="1" x14ac:dyDescent="0.2">
      <c r="D398" s="85"/>
    </row>
    <row r="399" spans="4:4" s="8" customFormat="1" x14ac:dyDescent="0.2">
      <c r="D399" s="85"/>
    </row>
    <row r="400" spans="4:4" s="8" customFormat="1" x14ac:dyDescent="0.2">
      <c r="D400" s="85"/>
    </row>
    <row r="401" spans="4:4" s="8" customFormat="1" x14ac:dyDescent="0.2">
      <c r="D401" s="85"/>
    </row>
    <row r="402" spans="4:4" s="8" customFormat="1" x14ac:dyDescent="0.2">
      <c r="D402" s="85"/>
    </row>
    <row r="403" spans="4:4" s="8" customFormat="1" x14ac:dyDescent="0.2">
      <c r="D403" s="85"/>
    </row>
    <row r="404" spans="4:4" s="8" customFormat="1" x14ac:dyDescent="0.2">
      <c r="D404" s="85"/>
    </row>
    <row r="405" spans="4:4" s="8" customFormat="1" x14ac:dyDescent="0.2">
      <c r="D405" s="85"/>
    </row>
    <row r="406" spans="4:4" s="8" customFormat="1" x14ac:dyDescent="0.2">
      <c r="D406" s="85"/>
    </row>
    <row r="407" spans="4:4" s="8" customFormat="1" x14ac:dyDescent="0.2">
      <c r="D407" s="85"/>
    </row>
    <row r="408" spans="4:4" s="8" customFormat="1" x14ac:dyDescent="0.2">
      <c r="D408" s="85"/>
    </row>
    <row r="409" spans="4:4" s="8" customFormat="1" x14ac:dyDescent="0.2">
      <c r="D409" s="85"/>
    </row>
    <row r="410" spans="4:4" s="8" customFormat="1" x14ac:dyDescent="0.2">
      <c r="D410" s="85"/>
    </row>
    <row r="411" spans="4:4" s="8" customFormat="1" x14ac:dyDescent="0.2">
      <c r="D411" s="85"/>
    </row>
    <row r="412" spans="4:4" s="8" customFormat="1" x14ac:dyDescent="0.2">
      <c r="D412" s="85"/>
    </row>
    <row r="413" spans="4:4" s="8" customFormat="1" x14ac:dyDescent="0.2">
      <c r="D413" s="85"/>
    </row>
    <row r="414" spans="4:4" s="8" customFormat="1" x14ac:dyDescent="0.2">
      <c r="D414" s="85"/>
    </row>
    <row r="415" spans="4:4" s="8" customFormat="1" x14ac:dyDescent="0.2">
      <c r="D415" s="85"/>
    </row>
    <row r="416" spans="4:4" s="8" customFormat="1" x14ac:dyDescent="0.2">
      <c r="D416" s="85"/>
    </row>
    <row r="417" spans="4:4" s="8" customFormat="1" x14ac:dyDescent="0.2">
      <c r="D417" s="85"/>
    </row>
    <row r="418" spans="4:4" s="8" customFormat="1" x14ac:dyDescent="0.2">
      <c r="D418" s="85"/>
    </row>
    <row r="419" spans="4:4" s="8" customFormat="1" x14ac:dyDescent="0.2">
      <c r="D419" s="85"/>
    </row>
    <row r="420" spans="4:4" s="8" customFormat="1" x14ac:dyDescent="0.2">
      <c r="D420" s="85"/>
    </row>
    <row r="421" spans="4:4" s="8" customFormat="1" x14ac:dyDescent="0.2">
      <c r="D421" s="85"/>
    </row>
    <row r="422" spans="4:4" s="8" customFormat="1" x14ac:dyDescent="0.2">
      <c r="D422" s="85"/>
    </row>
    <row r="423" spans="4:4" s="8" customFormat="1" x14ac:dyDescent="0.2">
      <c r="D423" s="85"/>
    </row>
    <row r="424" spans="4:4" s="8" customFormat="1" x14ac:dyDescent="0.2">
      <c r="D424" s="85"/>
    </row>
    <row r="425" spans="4:4" s="8" customFormat="1" x14ac:dyDescent="0.2">
      <c r="D425" s="85"/>
    </row>
    <row r="426" spans="4:4" s="8" customFormat="1" x14ac:dyDescent="0.2">
      <c r="D426" s="85"/>
    </row>
    <row r="427" spans="4:4" s="8" customFormat="1" x14ac:dyDescent="0.2">
      <c r="D427" s="85"/>
    </row>
    <row r="428" spans="4:4" s="8" customFormat="1" x14ac:dyDescent="0.2">
      <c r="D428" s="85"/>
    </row>
    <row r="429" spans="4:4" s="8" customFormat="1" x14ac:dyDescent="0.2">
      <c r="D429" s="85"/>
    </row>
    <row r="430" spans="4:4" s="8" customFormat="1" x14ac:dyDescent="0.2">
      <c r="D430" s="85"/>
    </row>
    <row r="431" spans="4:4" s="8" customFormat="1" x14ac:dyDescent="0.2">
      <c r="D431" s="85"/>
    </row>
    <row r="432" spans="4:4" s="8" customFormat="1" x14ac:dyDescent="0.2">
      <c r="D432" s="85"/>
    </row>
    <row r="433" spans="4:4" s="8" customFormat="1" x14ac:dyDescent="0.2">
      <c r="D433" s="85"/>
    </row>
    <row r="434" spans="4:4" s="8" customFormat="1" x14ac:dyDescent="0.2">
      <c r="D434" s="85"/>
    </row>
    <row r="435" spans="4:4" s="8" customFormat="1" x14ac:dyDescent="0.2">
      <c r="D435" s="85"/>
    </row>
    <row r="436" spans="4:4" s="8" customFormat="1" x14ac:dyDescent="0.2">
      <c r="D436" s="85"/>
    </row>
    <row r="437" spans="4:4" s="8" customFormat="1" x14ac:dyDescent="0.2">
      <c r="D437" s="85"/>
    </row>
    <row r="438" spans="4:4" s="8" customFormat="1" x14ac:dyDescent="0.2">
      <c r="D438" s="85"/>
    </row>
    <row r="439" spans="4:4" s="8" customFormat="1" x14ac:dyDescent="0.2">
      <c r="D439" s="85"/>
    </row>
    <row r="440" spans="4:4" s="8" customFormat="1" x14ac:dyDescent="0.2">
      <c r="D440" s="85"/>
    </row>
    <row r="441" spans="4:4" s="8" customFormat="1" x14ac:dyDescent="0.2">
      <c r="D441" s="85"/>
    </row>
    <row r="442" spans="4:4" s="8" customFormat="1" x14ac:dyDescent="0.2">
      <c r="D442" s="85"/>
    </row>
    <row r="443" spans="4:4" s="8" customFormat="1" x14ac:dyDescent="0.2">
      <c r="D443" s="85"/>
    </row>
    <row r="444" spans="4:4" s="8" customFormat="1" x14ac:dyDescent="0.2">
      <c r="D444" s="85"/>
    </row>
    <row r="445" spans="4:4" s="8" customFormat="1" x14ac:dyDescent="0.2">
      <c r="D445" s="85"/>
    </row>
    <row r="446" spans="4:4" s="8" customFormat="1" x14ac:dyDescent="0.2">
      <c r="D446" s="85"/>
    </row>
    <row r="447" spans="4:4" s="8" customFormat="1" x14ac:dyDescent="0.2">
      <c r="D447" s="85"/>
    </row>
    <row r="448" spans="4:4" s="8" customFormat="1" x14ac:dyDescent="0.2">
      <c r="D448" s="85"/>
    </row>
    <row r="449" spans="4:4" s="8" customFormat="1" x14ac:dyDescent="0.2">
      <c r="D449" s="85"/>
    </row>
    <row r="450" spans="4:4" s="8" customFormat="1" x14ac:dyDescent="0.2">
      <c r="D450" s="85"/>
    </row>
  </sheetData>
  <sheetProtection algorithmName="SHA-512" hashValue="IRj0rKlmnU2kJoeKW9bKcPoQ3CHxxSFx/icI+yI4e/KM5zJkVqZBFY+I2Sd9Yl9HlgpKFDFzIsd38m6/r06DAw==" saltValue="2IvKRhl4D0Czw6RghQnXTA==" spinCount="100000" sheet="1" objects="1" scenarios="1" formatCells="0" formatColumns="0" formatRows="0"/>
  <mergeCells count="35">
    <mergeCell ref="B48:C48"/>
    <mergeCell ref="B60:H60"/>
    <mergeCell ref="B62:C62"/>
    <mergeCell ref="B64:C64"/>
    <mergeCell ref="B8:H8"/>
    <mergeCell ref="B11:H11"/>
    <mergeCell ref="B12:H12"/>
    <mergeCell ref="B13:H13"/>
    <mergeCell ref="B14:H14"/>
    <mergeCell ref="B72:C72"/>
    <mergeCell ref="B76:C76"/>
    <mergeCell ref="B80:C80"/>
    <mergeCell ref="B82:C82"/>
    <mergeCell ref="B84:C84"/>
    <mergeCell ref="B74:C74"/>
    <mergeCell ref="B108:C108"/>
    <mergeCell ref="B110:C110"/>
    <mergeCell ref="B112:C112"/>
    <mergeCell ref="B120:H120"/>
    <mergeCell ref="B86:C86"/>
    <mergeCell ref="B88:C88"/>
    <mergeCell ref="B90:C90"/>
    <mergeCell ref="B92:H92"/>
    <mergeCell ref="B149:C149"/>
    <mergeCell ref="B124:C124"/>
    <mergeCell ref="B126:C126"/>
    <mergeCell ref="B128:C128"/>
    <mergeCell ref="B130:C130"/>
    <mergeCell ref="B132:C132"/>
    <mergeCell ref="B134:C134"/>
    <mergeCell ref="B139:C139"/>
    <mergeCell ref="B141:C141"/>
    <mergeCell ref="B143:C143"/>
    <mergeCell ref="B145:C145"/>
    <mergeCell ref="B147:C147"/>
  </mergeCells>
  <hyperlinks>
    <hyperlink ref="B153" location="'PT8-in-situ spraying'!A1" display="Go to the top of the pag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53"/>
  <sheetViews>
    <sheetView zoomScale="95" zoomScaleNormal="95" workbookViewId="0"/>
  </sheetViews>
  <sheetFormatPr defaultColWidth="8.75" defaultRowHeight="12.75" x14ac:dyDescent="0.2"/>
  <cols>
    <col min="1" max="1" width="1.625" style="8" customWidth="1"/>
    <col min="2" max="2" width="60.625" style="11" customWidth="1"/>
    <col min="3" max="3" width="1.625" style="11" customWidth="1"/>
    <col min="4" max="4" width="20.625" style="91" customWidth="1"/>
    <col min="5" max="5" width="15.625" style="11" customWidth="1"/>
    <col min="6" max="6" width="22.625" style="11" customWidth="1"/>
    <col min="7" max="7" width="10.625" style="11" customWidth="1"/>
    <col min="8" max="8" width="45.625" style="11" customWidth="1"/>
    <col min="9" max="10" width="15.625" style="8" customWidth="1"/>
    <col min="11" max="59" width="8.75" style="8"/>
    <col min="60" max="16384" width="8.75" style="11"/>
  </cols>
  <sheetData>
    <row r="1" spans="1:64" x14ac:dyDescent="0.2">
      <c r="A1" s="10"/>
      <c r="B1" s="10"/>
      <c r="C1" s="10"/>
      <c r="D1" s="61"/>
      <c r="E1" s="10"/>
      <c r="F1" s="10"/>
      <c r="G1" s="10"/>
      <c r="H1" s="10"/>
      <c r="I1" s="10"/>
      <c r="J1" s="10"/>
      <c r="K1" s="10"/>
    </row>
    <row r="2" spans="1:64" ht="20.25" x14ac:dyDescent="0.2">
      <c r="A2" s="10"/>
      <c r="B2" s="64" t="s">
        <v>35</v>
      </c>
      <c r="C2" s="65"/>
      <c r="D2" s="66"/>
      <c r="E2" s="10"/>
      <c r="F2" s="10"/>
      <c r="G2" s="10"/>
      <c r="H2" s="10"/>
      <c r="I2" s="10"/>
      <c r="J2" s="10"/>
      <c r="K2" s="10"/>
    </row>
    <row r="3" spans="1:64" x14ac:dyDescent="0.2">
      <c r="A3" s="10"/>
      <c r="B3" s="67"/>
      <c r="C3" s="67"/>
      <c r="D3" s="68"/>
      <c r="E3" s="10"/>
      <c r="F3" s="10"/>
      <c r="G3" s="10"/>
      <c r="H3" s="10"/>
      <c r="I3" s="10"/>
      <c r="J3" s="10"/>
      <c r="K3" s="10"/>
    </row>
    <row r="4" spans="1:64" ht="15" x14ac:dyDescent="0.2">
      <c r="A4" s="10"/>
      <c r="B4" s="69"/>
      <c r="C4" s="69"/>
      <c r="D4" s="70"/>
      <c r="E4" s="10"/>
      <c r="F4" s="10"/>
      <c r="G4" s="10"/>
      <c r="H4" s="10"/>
      <c r="I4" s="10"/>
      <c r="J4" s="10"/>
      <c r="K4" s="10"/>
    </row>
    <row r="5" spans="1:64" ht="18" x14ac:dyDescent="0.2">
      <c r="A5" s="10"/>
      <c r="B5" s="55" t="s">
        <v>515</v>
      </c>
      <c r="C5" s="5"/>
      <c r="D5" s="21"/>
      <c r="E5" s="71"/>
      <c r="F5" s="71"/>
      <c r="G5" s="71"/>
      <c r="H5" s="72"/>
      <c r="I5" s="10"/>
      <c r="J5" s="10"/>
      <c r="K5" s="10"/>
    </row>
    <row r="6" spans="1:64" s="75" customFormat="1" x14ac:dyDescent="0.2">
      <c r="A6" s="73"/>
      <c r="B6" s="33"/>
      <c r="C6" s="33"/>
      <c r="D6" s="40"/>
      <c r="E6" s="73"/>
      <c r="F6" s="73"/>
      <c r="G6" s="73"/>
      <c r="H6" s="73"/>
      <c r="I6" s="73"/>
      <c r="J6" s="73"/>
      <c r="K6" s="73"/>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row>
    <row r="7" spans="1:64" s="75" customFormat="1" ht="14.25" x14ac:dyDescent="0.2">
      <c r="A7" s="73"/>
      <c r="B7" s="56" t="s">
        <v>493</v>
      </c>
      <c r="C7" s="57"/>
      <c r="D7" s="58"/>
      <c r="E7" s="76"/>
      <c r="F7" s="76"/>
      <c r="G7" s="76"/>
      <c r="H7" s="76"/>
      <c r="I7" s="73"/>
      <c r="J7" s="73"/>
      <c r="K7" s="73"/>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row>
    <row r="8" spans="1:64" s="8" customFormat="1" ht="29.25" customHeight="1" x14ac:dyDescent="0.2">
      <c r="B8" s="377" t="s">
        <v>885</v>
      </c>
      <c r="C8" s="372"/>
      <c r="D8" s="372"/>
      <c r="E8" s="372"/>
      <c r="F8" s="372"/>
      <c r="G8" s="372"/>
      <c r="H8" s="372"/>
      <c r="I8" s="42"/>
      <c r="J8" s="42"/>
      <c r="K8" s="42"/>
    </row>
    <row r="9" spans="1:64" s="8" customFormat="1" ht="19.5" customHeight="1" x14ac:dyDescent="0.2">
      <c r="B9" s="377" t="s">
        <v>886</v>
      </c>
      <c r="C9" s="377"/>
      <c r="D9" s="377"/>
      <c r="E9" s="377"/>
      <c r="F9" s="377"/>
      <c r="G9" s="377"/>
      <c r="H9" s="377"/>
      <c r="I9" s="42"/>
      <c r="J9" s="42"/>
      <c r="K9" s="42"/>
    </row>
    <row r="10" spans="1:64" s="8" customFormat="1" ht="14.25" x14ac:dyDescent="0.2">
      <c r="B10" s="136"/>
      <c r="C10" s="136"/>
      <c r="D10" s="136"/>
      <c r="E10" s="136"/>
      <c r="F10" s="136"/>
      <c r="G10" s="136"/>
      <c r="H10" s="136"/>
      <c r="I10" s="42"/>
      <c r="J10" s="42"/>
      <c r="K10" s="42"/>
    </row>
    <row r="11" spans="1:64" ht="15" x14ac:dyDescent="0.2">
      <c r="A11" s="10"/>
      <c r="B11" s="59" t="s">
        <v>414</v>
      </c>
      <c r="C11" s="81"/>
      <c r="D11" s="81"/>
      <c r="E11" s="10"/>
      <c r="F11" s="10"/>
      <c r="G11" s="10"/>
      <c r="H11" s="10"/>
      <c r="I11" s="10"/>
      <c r="J11" s="10"/>
      <c r="BG11" s="11"/>
    </row>
    <row r="12" spans="1:64" s="131" customFormat="1" x14ac:dyDescent="0.2">
      <c r="A12" s="77"/>
      <c r="B12" s="73"/>
      <c r="C12" s="138"/>
      <c r="D12" s="138"/>
      <c r="E12" s="138"/>
      <c r="F12" s="138"/>
      <c r="G12" s="138"/>
      <c r="H12" s="138"/>
      <c r="I12" s="77"/>
      <c r="J12" s="77"/>
      <c r="K12" s="77"/>
      <c r="L12" s="77"/>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row>
    <row r="13" spans="1:64" x14ac:dyDescent="0.2">
      <c r="A13" s="10"/>
      <c r="B13" s="82" t="s">
        <v>19</v>
      </c>
      <c r="C13" s="82"/>
      <c r="D13" s="77"/>
      <c r="E13" s="77"/>
      <c r="F13" s="77"/>
      <c r="G13" s="77"/>
      <c r="H13" s="83"/>
      <c r="AR13" s="11"/>
      <c r="AS13" s="11"/>
      <c r="AT13" s="11"/>
      <c r="AU13" s="11"/>
      <c r="AV13" s="11"/>
      <c r="AW13" s="11"/>
      <c r="AX13" s="11"/>
      <c r="AY13" s="11"/>
      <c r="AZ13" s="11"/>
      <c r="BA13" s="11"/>
      <c r="BB13" s="11"/>
      <c r="BC13" s="11"/>
      <c r="BD13" s="11"/>
      <c r="BE13" s="11"/>
      <c r="BF13" s="11"/>
      <c r="BG13" s="11"/>
    </row>
    <row r="14" spans="1:64" ht="18" customHeight="1" x14ac:dyDescent="0.2">
      <c r="A14" s="10"/>
      <c r="B14" s="366" t="s">
        <v>786</v>
      </c>
      <c r="C14" s="366"/>
      <c r="D14" s="366"/>
      <c r="E14" s="366"/>
      <c r="F14" s="366"/>
      <c r="G14" s="366"/>
      <c r="H14" s="366"/>
      <c r="AR14" s="11"/>
      <c r="AS14" s="11"/>
      <c r="AT14" s="11"/>
      <c r="AU14" s="11"/>
      <c r="AV14" s="11"/>
      <c r="AW14" s="11"/>
      <c r="AX14" s="11"/>
      <c r="AY14" s="11"/>
      <c r="AZ14" s="11"/>
      <c r="BA14" s="11"/>
      <c r="BB14" s="11"/>
      <c r="BC14" s="11"/>
      <c r="BD14" s="11"/>
      <c r="BE14" s="11"/>
      <c r="BF14" s="11"/>
      <c r="BG14" s="11"/>
    </row>
    <row r="15" spans="1:64" ht="12.75" customHeight="1" x14ac:dyDescent="0.2">
      <c r="A15" s="10"/>
      <c r="B15" s="366" t="s">
        <v>213</v>
      </c>
      <c r="C15" s="366"/>
      <c r="D15" s="366"/>
      <c r="E15" s="366"/>
      <c r="F15" s="366"/>
      <c r="G15" s="366"/>
      <c r="H15" s="366"/>
      <c r="I15" s="10"/>
      <c r="J15" s="10"/>
      <c r="K15" s="10"/>
      <c r="L15" s="10"/>
      <c r="M15" s="10"/>
      <c r="N15" s="10"/>
      <c r="O15" s="10"/>
      <c r="P15" s="10"/>
      <c r="BH15" s="8"/>
      <c r="BI15" s="8"/>
      <c r="BJ15" s="8"/>
      <c r="BK15" s="8"/>
      <c r="BL15" s="8"/>
    </row>
    <row r="16" spans="1:64" s="8" customFormat="1" ht="15" x14ac:dyDescent="0.2">
      <c r="A16" s="10"/>
      <c r="C16" s="31"/>
      <c r="D16" s="32"/>
      <c r="E16" s="84"/>
      <c r="F16" s="84"/>
      <c r="G16" s="84"/>
      <c r="H16" s="10"/>
      <c r="I16" s="10"/>
      <c r="J16" s="10"/>
      <c r="K16" s="10"/>
    </row>
    <row r="17" spans="1:59" ht="15" x14ac:dyDescent="0.2">
      <c r="A17" s="10"/>
      <c r="B17" s="4" t="s">
        <v>0</v>
      </c>
      <c r="C17" s="4"/>
      <c r="D17" s="12"/>
      <c r="E17" s="12"/>
      <c r="F17" s="12"/>
      <c r="G17" s="12"/>
      <c r="H17" s="13"/>
      <c r="AR17" s="11"/>
      <c r="AS17" s="11"/>
      <c r="AT17" s="11"/>
      <c r="AU17" s="11"/>
      <c r="AV17" s="11"/>
      <c r="AW17" s="11"/>
      <c r="AX17" s="11"/>
      <c r="AY17" s="11"/>
      <c r="AZ17" s="11"/>
      <c r="BA17" s="11"/>
      <c r="BB17" s="11"/>
      <c r="BC17" s="11"/>
      <c r="BD17" s="11"/>
      <c r="BE17" s="11"/>
      <c r="BF17" s="11"/>
      <c r="BG17" s="11"/>
    </row>
    <row r="18" spans="1:59" x14ac:dyDescent="0.2">
      <c r="A18" s="10"/>
      <c r="B18" s="6"/>
      <c r="C18" s="6"/>
      <c r="D18" s="6"/>
      <c r="E18" s="6"/>
      <c r="F18" s="6"/>
      <c r="G18" s="6"/>
      <c r="H18" s="22"/>
      <c r="AR18" s="11"/>
      <c r="AS18" s="11"/>
      <c r="AT18" s="11"/>
      <c r="AU18" s="11"/>
      <c r="AV18" s="11"/>
      <c r="AW18" s="11"/>
      <c r="AX18" s="11"/>
      <c r="AY18" s="11"/>
      <c r="AZ18" s="11"/>
      <c r="BA18" s="11"/>
      <c r="BB18" s="11"/>
      <c r="BC18" s="11"/>
      <c r="BD18" s="11"/>
      <c r="BE18" s="11"/>
      <c r="BF18" s="11"/>
      <c r="BG18" s="11"/>
    </row>
    <row r="19" spans="1:59" ht="15" x14ac:dyDescent="0.2">
      <c r="A19" s="10"/>
      <c r="B19" s="14" t="s">
        <v>2</v>
      </c>
      <c r="C19" s="14"/>
      <c r="D19" s="15" t="s">
        <v>4</v>
      </c>
      <c r="E19" s="16" t="s">
        <v>7</v>
      </c>
      <c r="F19" s="16" t="s">
        <v>3</v>
      </c>
      <c r="G19" s="16" t="s">
        <v>11</v>
      </c>
      <c r="H19" s="15" t="s">
        <v>34</v>
      </c>
      <c r="AR19" s="11"/>
      <c r="AS19" s="11"/>
      <c r="AT19" s="11"/>
      <c r="AU19" s="11"/>
      <c r="AV19" s="11"/>
      <c r="AW19" s="11"/>
      <c r="AX19" s="11"/>
      <c r="AY19" s="11"/>
      <c r="AZ19" s="11"/>
      <c r="BA19" s="11"/>
      <c r="BB19" s="11"/>
      <c r="BC19" s="11"/>
      <c r="BD19" s="11"/>
      <c r="BE19" s="11"/>
      <c r="BF19" s="11"/>
      <c r="BG19" s="11"/>
    </row>
    <row r="20" spans="1:59" x14ac:dyDescent="0.2">
      <c r="A20" s="10"/>
      <c r="B20" s="135"/>
      <c r="C20" s="14"/>
      <c r="D20" s="15"/>
      <c r="E20" s="16"/>
      <c r="F20" s="16"/>
      <c r="G20" s="16"/>
      <c r="H20" s="15"/>
      <c r="AR20" s="11"/>
      <c r="AS20" s="11"/>
      <c r="AT20" s="11"/>
      <c r="AU20" s="11"/>
      <c r="AV20" s="11"/>
      <c r="AW20" s="11"/>
      <c r="AX20" s="11"/>
      <c r="AY20" s="11"/>
      <c r="AZ20" s="11"/>
      <c r="BA20" s="11"/>
      <c r="BB20" s="11"/>
      <c r="BC20" s="11"/>
      <c r="BD20" s="11"/>
      <c r="BE20" s="11"/>
      <c r="BF20" s="11"/>
      <c r="BG20" s="11"/>
    </row>
    <row r="21" spans="1:59" ht="15" customHeight="1" x14ac:dyDescent="0.2">
      <c r="A21" s="10"/>
      <c r="B21" s="193" t="s">
        <v>415</v>
      </c>
      <c r="C21" s="14"/>
      <c r="D21" s="30" t="s">
        <v>416</v>
      </c>
      <c r="E21" s="272">
        <v>1.59</v>
      </c>
      <c r="F21" s="7" t="s">
        <v>14</v>
      </c>
      <c r="G21" s="7" t="s">
        <v>13</v>
      </c>
      <c r="H21" s="15"/>
      <c r="AR21" s="11"/>
      <c r="AS21" s="11"/>
      <c r="AT21" s="11"/>
      <c r="AU21" s="11"/>
      <c r="AV21" s="11"/>
      <c r="AW21" s="11"/>
      <c r="AX21" s="11"/>
      <c r="AY21" s="11"/>
      <c r="AZ21" s="11"/>
      <c r="BA21" s="11"/>
      <c r="BB21" s="11"/>
      <c r="BC21" s="11"/>
      <c r="BD21" s="11"/>
      <c r="BE21" s="11"/>
      <c r="BF21" s="11"/>
      <c r="BG21" s="11"/>
    </row>
    <row r="22" spans="1:59" ht="5.0999999999999996" customHeight="1" x14ac:dyDescent="0.2">
      <c r="A22" s="10"/>
      <c r="B22" s="135"/>
      <c r="C22" s="14"/>
      <c r="D22" s="30"/>
      <c r="E22" s="272"/>
      <c r="F22" s="7"/>
      <c r="G22" s="7"/>
      <c r="H22" s="15"/>
      <c r="AR22" s="11"/>
      <c r="AS22" s="11"/>
      <c r="AT22" s="11"/>
      <c r="AU22" s="11"/>
      <c r="AV22" s="11"/>
      <c r="AW22" s="11"/>
      <c r="AX22" s="11"/>
      <c r="AY22" s="11"/>
      <c r="AZ22" s="11"/>
      <c r="BA22" s="11"/>
      <c r="BB22" s="11"/>
      <c r="BC22" s="11"/>
      <c r="BD22" s="11"/>
      <c r="BE22" s="11"/>
      <c r="BF22" s="11"/>
      <c r="BG22" s="11"/>
    </row>
    <row r="23" spans="1:59" ht="15" x14ac:dyDescent="0.2">
      <c r="A23" s="10"/>
      <c r="B23" s="135" t="s">
        <v>417</v>
      </c>
      <c r="C23" s="14"/>
      <c r="D23" s="30" t="s">
        <v>418</v>
      </c>
      <c r="E23" s="272">
        <v>2583</v>
      </c>
      <c r="F23" s="7" t="s">
        <v>419</v>
      </c>
      <c r="G23" s="7" t="s">
        <v>13</v>
      </c>
      <c r="H23" s="15"/>
      <c r="AR23" s="11"/>
      <c r="AS23" s="11"/>
      <c r="AT23" s="11"/>
      <c r="AU23" s="11"/>
      <c r="AV23" s="11"/>
      <c r="AW23" s="11"/>
      <c r="AX23" s="11"/>
      <c r="AY23" s="11"/>
      <c r="AZ23" s="11"/>
      <c r="BA23" s="11"/>
      <c r="BB23" s="11"/>
      <c r="BC23" s="11"/>
      <c r="BD23" s="11"/>
      <c r="BE23" s="11"/>
      <c r="BF23" s="11"/>
      <c r="BG23" s="11"/>
    </row>
    <row r="24" spans="1:59" ht="5.0999999999999996" customHeight="1" x14ac:dyDescent="0.2">
      <c r="A24" s="10"/>
      <c r="B24" s="135"/>
      <c r="C24" s="14"/>
      <c r="D24" s="30"/>
      <c r="E24" s="272"/>
      <c r="F24" s="7"/>
      <c r="G24" s="7"/>
      <c r="H24" s="15"/>
      <c r="AR24" s="11"/>
      <c r="AS24" s="11"/>
      <c r="AT24" s="11"/>
      <c r="AU24" s="11"/>
      <c r="AV24" s="11"/>
      <c r="AW24" s="11"/>
      <c r="AX24" s="11"/>
      <c r="AY24" s="11"/>
      <c r="AZ24" s="11"/>
      <c r="BA24" s="11"/>
      <c r="BB24" s="11"/>
      <c r="BC24" s="11"/>
      <c r="BD24" s="11"/>
      <c r="BE24" s="11"/>
      <c r="BF24" s="11"/>
      <c r="BG24" s="11"/>
    </row>
    <row r="25" spans="1:59" s="8" customFormat="1" x14ac:dyDescent="0.2">
      <c r="B25" s="193" t="s">
        <v>72</v>
      </c>
      <c r="C25" s="34"/>
      <c r="D25" s="135" t="s">
        <v>73</v>
      </c>
      <c r="E25" s="273">
        <v>30</v>
      </c>
      <c r="F25" s="7" t="s">
        <v>10</v>
      </c>
      <c r="G25" s="7" t="s">
        <v>13</v>
      </c>
      <c r="H25" s="34"/>
    </row>
    <row r="26" spans="1:59" s="8" customFormat="1" ht="5.0999999999999996" customHeight="1" x14ac:dyDescent="0.2">
      <c r="B26" s="296"/>
      <c r="C26" s="34"/>
      <c r="D26" s="22"/>
      <c r="E26" s="273"/>
      <c r="F26" s="19"/>
      <c r="G26" s="7"/>
      <c r="H26" s="34"/>
    </row>
    <row r="27" spans="1:59" s="8" customFormat="1" ht="53.25" x14ac:dyDescent="0.2">
      <c r="B27" s="296" t="s">
        <v>721</v>
      </c>
      <c r="C27" s="34"/>
      <c r="D27" s="22" t="s">
        <v>75</v>
      </c>
      <c r="E27" s="273">
        <v>365</v>
      </c>
      <c r="F27" s="19" t="s">
        <v>10</v>
      </c>
      <c r="G27" s="7" t="s">
        <v>13</v>
      </c>
      <c r="H27" s="146" t="s">
        <v>966</v>
      </c>
    </row>
    <row r="28" spans="1:59" s="8" customFormat="1" ht="5.0999999999999996" customHeight="1" x14ac:dyDescent="0.2">
      <c r="B28" s="193"/>
      <c r="C28" s="34"/>
      <c r="D28" s="22"/>
      <c r="E28" s="273"/>
      <c r="F28" s="19"/>
      <c r="G28" s="7"/>
      <c r="H28" s="34"/>
    </row>
    <row r="29" spans="1:59" s="8" customFormat="1" ht="12.75" customHeight="1" x14ac:dyDescent="0.2">
      <c r="B29" s="193" t="s">
        <v>420</v>
      </c>
      <c r="C29" s="34"/>
      <c r="D29" s="22" t="s">
        <v>676</v>
      </c>
      <c r="E29" s="273">
        <v>7300</v>
      </c>
      <c r="F29" s="19" t="s">
        <v>10</v>
      </c>
      <c r="G29" s="7" t="s">
        <v>13</v>
      </c>
      <c r="H29" s="92"/>
    </row>
    <row r="30" spans="1:59" s="8" customFormat="1" ht="5.0999999999999996" customHeight="1" x14ac:dyDescent="0.2">
      <c r="B30" s="135"/>
      <c r="C30" s="135"/>
      <c r="D30" s="30"/>
      <c r="E30" s="273"/>
      <c r="F30" s="7"/>
      <c r="G30" s="7"/>
      <c r="H30" s="7"/>
    </row>
    <row r="31" spans="1:59" s="8" customFormat="1" ht="30" customHeight="1" x14ac:dyDescent="0.2">
      <c r="B31" s="193" t="s">
        <v>193</v>
      </c>
      <c r="C31" s="34"/>
      <c r="D31" s="135" t="s">
        <v>194</v>
      </c>
      <c r="E31" s="326"/>
      <c r="F31" s="19" t="s">
        <v>813</v>
      </c>
      <c r="G31" s="19" t="s">
        <v>6</v>
      </c>
      <c r="H31" s="34"/>
    </row>
    <row r="32" spans="1:59" s="8" customFormat="1" ht="5.0999999999999996" customHeight="1" x14ac:dyDescent="0.2">
      <c r="B32" s="296"/>
      <c r="C32" s="34"/>
      <c r="D32" s="22"/>
      <c r="E32" s="273"/>
      <c r="F32" s="19"/>
      <c r="G32" s="19"/>
      <c r="H32" s="34"/>
    </row>
    <row r="33" spans="1:59" s="8" customFormat="1" ht="27.75" customHeight="1" x14ac:dyDescent="0.2">
      <c r="B33" s="296" t="s">
        <v>761</v>
      </c>
      <c r="C33" s="34"/>
      <c r="D33" s="296" t="s">
        <v>196</v>
      </c>
      <c r="E33" s="326"/>
      <c r="F33" s="19" t="s">
        <v>813</v>
      </c>
      <c r="G33" s="19" t="s">
        <v>6</v>
      </c>
      <c r="H33" s="92"/>
    </row>
    <row r="34" spans="1:59" s="8" customFormat="1" ht="5.0999999999999996" customHeight="1" x14ac:dyDescent="0.2">
      <c r="B34" s="193"/>
      <c r="C34" s="34"/>
      <c r="D34" s="22"/>
      <c r="E34" s="273"/>
      <c r="F34" s="19"/>
      <c r="G34" s="19"/>
      <c r="H34" s="34"/>
    </row>
    <row r="35" spans="1:59" s="8" customFormat="1" ht="27.75" customHeight="1" x14ac:dyDescent="0.2">
      <c r="B35" s="193" t="s">
        <v>195</v>
      </c>
      <c r="C35" s="34"/>
      <c r="D35" s="135" t="s">
        <v>684</v>
      </c>
      <c r="E35" s="326"/>
      <c r="F35" s="19" t="s">
        <v>813</v>
      </c>
      <c r="G35" s="19" t="s">
        <v>6</v>
      </c>
      <c r="H35" s="92"/>
    </row>
    <row r="36" spans="1:59" s="8" customFormat="1" x14ac:dyDescent="0.2">
      <c r="B36" s="135"/>
      <c r="C36" s="34"/>
      <c r="D36" s="22"/>
      <c r="E36" s="7"/>
      <c r="F36" s="19"/>
      <c r="G36" s="7"/>
      <c r="H36" s="34"/>
    </row>
    <row r="37" spans="1:59" ht="15" x14ac:dyDescent="0.2">
      <c r="A37" s="10"/>
      <c r="B37" s="4" t="s">
        <v>1</v>
      </c>
      <c r="C37" s="4"/>
      <c r="D37" s="4"/>
      <c r="E37" s="12"/>
      <c r="F37" s="12"/>
      <c r="G37" s="12"/>
      <c r="H37" s="12"/>
      <c r="AS37" s="11"/>
      <c r="AT37" s="11"/>
      <c r="AU37" s="11"/>
      <c r="AV37" s="11"/>
      <c r="AW37" s="11"/>
      <c r="AX37" s="11"/>
      <c r="AY37" s="11"/>
      <c r="AZ37" s="11"/>
      <c r="BA37" s="11"/>
      <c r="BB37" s="11"/>
      <c r="BC37" s="11"/>
      <c r="BD37" s="11"/>
      <c r="BE37" s="11"/>
      <c r="BF37" s="11"/>
      <c r="BG37" s="11"/>
    </row>
    <row r="38" spans="1:59" x14ac:dyDescent="0.2">
      <c r="A38" s="10"/>
      <c r="B38" s="6"/>
      <c r="C38" s="6"/>
      <c r="D38" s="6"/>
      <c r="E38" s="6"/>
      <c r="F38" s="6"/>
      <c r="G38" s="6"/>
      <c r="H38" s="6"/>
      <c r="AS38" s="11"/>
      <c r="AT38" s="11"/>
      <c r="AU38" s="11"/>
      <c r="AV38" s="11"/>
      <c r="AW38" s="11"/>
      <c r="AX38" s="11"/>
      <c r="AY38" s="11"/>
      <c r="AZ38" s="11"/>
      <c r="BA38" s="11"/>
      <c r="BB38" s="11"/>
      <c r="BC38" s="11"/>
      <c r="BD38" s="11"/>
      <c r="BE38" s="11"/>
      <c r="BF38" s="11"/>
      <c r="BG38" s="11"/>
    </row>
    <row r="39" spans="1:59" ht="15" x14ac:dyDescent="0.2">
      <c r="A39" s="10"/>
      <c r="B39" s="14" t="s">
        <v>2</v>
      </c>
      <c r="C39" s="14"/>
      <c r="D39" s="15" t="s">
        <v>4</v>
      </c>
      <c r="E39" s="16" t="s">
        <v>7</v>
      </c>
      <c r="F39" s="16" t="s">
        <v>3</v>
      </c>
      <c r="G39" s="16" t="s">
        <v>11</v>
      </c>
      <c r="H39" s="15" t="s">
        <v>34</v>
      </c>
      <c r="AS39" s="11"/>
      <c r="AT39" s="11"/>
      <c r="AU39" s="11"/>
      <c r="AV39" s="11"/>
      <c r="AW39" s="11"/>
      <c r="AX39" s="11"/>
      <c r="AY39" s="11"/>
      <c r="AZ39" s="11"/>
      <c r="BA39" s="11"/>
      <c r="BB39" s="11"/>
      <c r="BC39" s="11"/>
      <c r="BD39" s="11"/>
      <c r="BE39" s="11"/>
      <c r="BF39" s="11"/>
      <c r="BG39" s="11"/>
    </row>
    <row r="40" spans="1:59" x14ac:dyDescent="0.2">
      <c r="A40" s="10"/>
      <c r="B40" s="14"/>
      <c r="C40" s="14"/>
      <c r="D40" s="15"/>
      <c r="E40" s="16"/>
      <c r="F40" s="16"/>
      <c r="G40" s="16"/>
      <c r="H40" s="15"/>
      <c r="AS40" s="11"/>
      <c r="AT40" s="11"/>
      <c r="AU40" s="11"/>
      <c r="AV40" s="11"/>
      <c r="AW40" s="11"/>
      <c r="AX40" s="11"/>
      <c r="AY40" s="11"/>
      <c r="AZ40" s="11"/>
      <c r="BA40" s="11"/>
      <c r="BB40" s="11"/>
      <c r="BC40" s="11"/>
      <c r="BD40" s="11"/>
      <c r="BE40" s="11"/>
      <c r="BF40" s="11"/>
      <c r="BG40" s="11"/>
    </row>
    <row r="41" spans="1:59" s="8" customFormat="1" ht="29.25" customHeight="1" x14ac:dyDescent="0.2">
      <c r="A41" s="10"/>
      <c r="B41" s="30" t="s">
        <v>773</v>
      </c>
      <c r="C41" s="30"/>
      <c r="D41" s="30" t="s">
        <v>202</v>
      </c>
      <c r="E41" s="228" t="str">
        <f>IF(ISNUMBER(Q_leach_TIME1),AREAsleepers*Nsleepers*Q_leach_TIME1,"??")</f>
        <v>??</v>
      </c>
      <c r="F41" s="19" t="s">
        <v>870</v>
      </c>
      <c r="G41" s="19" t="s">
        <v>8</v>
      </c>
      <c r="H41" s="308" t="s">
        <v>871</v>
      </c>
    </row>
    <row r="42" spans="1:59" s="8" customFormat="1" ht="5.0999999999999996" customHeight="1" x14ac:dyDescent="0.2">
      <c r="A42" s="10"/>
      <c r="B42" s="296"/>
      <c r="C42" s="296"/>
      <c r="D42" s="30"/>
      <c r="E42" s="30"/>
      <c r="F42" s="19"/>
      <c r="G42" s="19"/>
      <c r="H42" s="41"/>
    </row>
    <row r="43" spans="1:59" s="8" customFormat="1" ht="29.25" customHeight="1" x14ac:dyDescent="0.2">
      <c r="A43" s="10"/>
      <c r="B43" s="30" t="s">
        <v>774</v>
      </c>
      <c r="C43" s="30"/>
      <c r="D43" s="30" t="s">
        <v>203</v>
      </c>
      <c r="E43" s="228" t="str">
        <f>IF(ISNUMBER(Q_leach_TIME2),AREAsleepers*Nsleepers*Q_leach_TIME2,"??")</f>
        <v>??</v>
      </c>
      <c r="F43" s="19" t="s">
        <v>870</v>
      </c>
      <c r="G43" s="19" t="s">
        <v>8</v>
      </c>
      <c r="H43" s="308" t="s">
        <v>872</v>
      </c>
    </row>
    <row r="44" spans="1:59" s="8" customFormat="1" ht="5.0999999999999996" customHeight="1" x14ac:dyDescent="0.2">
      <c r="A44" s="10"/>
      <c r="B44" s="135"/>
      <c r="C44" s="135"/>
      <c r="D44" s="30"/>
      <c r="E44" s="30"/>
      <c r="F44" s="19"/>
      <c r="G44" s="19"/>
      <c r="H44" s="41"/>
    </row>
    <row r="45" spans="1:59" s="8" customFormat="1" ht="29.25" customHeight="1" x14ac:dyDescent="0.2">
      <c r="A45" s="10"/>
      <c r="B45" s="30" t="s">
        <v>775</v>
      </c>
      <c r="C45" s="30"/>
      <c r="D45" s="30" t="s">
        <v>678</v>
      </c>
      <c r="E45" s="228" t="str">
        <f>IF(ISNUMBER(Q_leach_TIME3),AREAsleepers*Nsleepers*Q_leach_TIME3,"??")</f>
        <v>??</v>
      </c>
      <c r="F45" s="19" t="s">
        <v>870</v>
      </c>
      <c r="G45" s="19" t="s">
        <v>8</v>
      </c>
      <c r="H45" s="308" t="s">
        <v>873</v>
      </c>
    </row>
    <row r="46" spans="1:59" s="8" customFormat="1" x14ac:dyDescent="0.2">
      <c r="A46" s="10"/>
      <c r="B46" s="135"/>
      <c r="C46" s="135"/>
      <c r="D46" s="30"/>
      <c r="E46" s="30"/>
      <c r="F46" s="19"/>
      <c r="G46" s="19"/>
      <c r="H46" s="41"/>
    </row>
    <row r="47" spans="1:59" s="8" customFormat="1" x14ac:dyDescent="0.2">
      <c r="A47" s="10"/>
      <c r="B47" s="300" t="s">
        <v>790</v>
      </c>
      <c r="C47" s="299"/>
      <c r="D47" s="30"/>
      <c r="E47" s="30"/>
      <c r="F47" s="19"/>
      <c r="G47" s="19"/>
      <c r="H47" s="41"/>
    </row>
    <row r="48" spans="1:59" s="8" customFormat="1" x14ac:dyDescent="0.2">
      <c r="A48" s="10"/>
      <c r="B48" s="299"/>
      <c r="C48" s="299"/>
      <c r="D48" s="30"/>
      <c r="E48" s="30"/>
      <c r="F48" s="19"/>
      <c r="G48" s="19"/>
      <c r="H48" s="41"/>
    </row>
    <row r="49" spans="1:8" s="8" customFormat="1" ht="30" x14ac:dyDescent="0.2">
      <c r="A49" s="10"/>
      <c r="B49" s="167" t="s">
        <v>805</v>
      </c>
      <c r="C49" s="299"/>
      <c r="D49" s="302"/>
      <c r="E49" s="228" t="str">
        <f>IF(ISNUMBER(E43),E43*365/(TIME2*10000000),"??")</f>
        <v>??</v>
      </c>
      <c r="F49" s="310" t="s">
        <v>907</v>
      </c>
      <c r="G49" s="19" t="s">
        <v>8</v>
      </c>
      <c r="H49" s="363" t="s">
        <v>909</v>
      </c>
    </row>
    <row r="50" spans="1:8" s="8" customFormat="1" x14ac:dyDescent="0.2">
      <c r="A50" s="10"/>
      <c r="B50" s="304"/>
      <c r="C50" s="299"/>
      <c r="D50" s="30"/>
      <c r="E50" s="30"/>
      <c r="F50" s="19"/>
      <c r="G50" s="19"/>
      <c r="H50" s="363"/>
    </row>
    <row r="51" spans="1:8" s="8" customFormat="1" ht="30" x14ac:dyDescent="0.2">
      <c r="A51" s="10"/>
      <c r="B51" s="167" t="s">
        <v>806</v>
      </c>
      <c r="C51" s="299"/>
      <c r="D51" s="302"/>
      <c r="E51" s="228" t="str">
        <f>IF(ISNUMBER(E45),E45*365/(TIME3*10000000),"??")</f>
        <v>??</v>
      </c>
      <c r="F51" s="310" t="s">
        <v>907</v>
      </c>
      <c r="G51" s="19" t="s">
        <v>8</v>
      </c>
      <c r="H51" s="363"/>
    </row>
    <row r="52" spans="1:8" s="8" customFormat="1" x14ac:dyDescent="0.2">
      <c r="A52" s="10"/>
      <c r="B52" s="299"/>
      <c r="C52" s="299"/>
      <c r="D52" s="30"/>
      <c r="E52" s="30"/>
      <c r="F52" s="7"/>
      <c r="G52" s="7"/>
      <c r="H52" s="20"/>
    </row>
    <row r="53" spans="1:8" s="8" customFormat="1" x14ac:dyDescent="0.2">
      <c r="B53" s="86" t="s">
        <v>12</v>
      </c>
      <c r="F53" s="74"/>
      <c r="G53" s="74"/>
      <c r="H53" s="85"/>
    </row>
    <row r="54" spans="1:8" s="8" customFormat="1" ht="29.25" customHeight="1" x14ac:dyDescent="0.2">
      <c r="B54" s="390" t="s">
        <v>421</v>
      </c>
      <c r="C54" s="390"/>
      <c r="D54" s="390"/>
      <c r="E54" s="390"/>
      <c r="F54" s="390"/>
      <c r="G54" s="390"/>
      <c r="H54" s="390"/>
    </row>
    <row r="55" spans="1:8" s="73" customFormat="1" x14ac:dyDescent="0.2">
      <c r="F55" s="94"/>
      <c r="H55" s="94"/>
    </row>
    <row r="56" spans="1:8" s="73" customFormat="1" ht="12" customHeight="1" x14ac:dyDescent="0.2">
      <c r="B56" s="307" t="s">
        <v>818</v>
      </c>
      <c r="H56" s="94"/>
    </row>
    <row r="57" spans="1:8" s="10" customFormat="1" x14ac:dyDescent="0.2">
      <c r="D57" s="61"/>
    </row>
    <row r="58" spans="1:8" s="10" customFormat="1" x14ac:dyDescent="0.2">
      <c r="D58" s="61"/>
    </row>
    <row r="59" spans="1:8" s="10" customFormat="1" x14ac:dyDescent="0.2">
      <c r="D59" s="61"/>
    </row>
    <row r="60" spans="1:8" s="8" customFormat="1" x14ac:dyDescent="0.2">
      <c r="D60" s="85"/>
    </row>
    <row r="61" spans="1:8" s="8" customFormat="1" x14ac:dyDescent="0.2">
      <c r="D61" s="85"/>
    </row>
    <row r="62" spans="1:8" s="8" customFormat="1" x14ac:dyDescent="0.2">
      <c r="D62" s="85"/>
    </row>
    <row r="63" spans="1:8" s="8" customFormat="1" x14ac:dyDescent="0.2">
      <c r="D63" s="85"/>
    </row>
    <row r="64" spans="1:8" s="8" customFormat="1" x14ac:dyDescent="0.2">
      <c r="D64" s="85"/>
    </row>
    <row r="65" spans="4:4" s="8" customFormat="1" x14ac:dyDescent="0.2">
      <c r="D65" s="85"/>
    </row>
    <row r="66" spans="4:4" s="8" customFormat="1" x14ac:dyDescent="0.2">
      <c r="D66" s="85"/>
    </row>
    <row r="67" spans="4:4" s="8" customFormat="1" x14ac:dyDescent="0.2">
      <c r="D67" s="85"/>
    </row>
    <row r="68" spans="4:4" s="8" customFormat="1" x14ac:dyDescent="0.2">
      <c r="D68" s="85"/>
    </row>
    <row r="69" spans="4:4" s="8" customFormat="1" x14ac:dyDescent="0.2">
      <c r="D69" s="85"/>
    </row>
    <row r="70" spans="4:4" s="8" customFormat="1" x14ac:dyDescent="0.2">
      <c r="D70" s="85"/>
    </row>
    <row r="71" spans="4:4" s="8" customFormat="1" x14ac:dyDescent="0.2">
      <c r="D71" s="85"/>
    </row>
    <row r="72" spans="4:4" s="8" customFormat="1" x14ac:dyDescent="0.2">
      <c r="D72" s="85"/>
    </row>
    <row r="73" spans="4:4" s="8" customFormat="1" x14ac:dyDescent="0.2">
      <c r="D73" s="85"/>
    </row>
    <row r="74" spans="4:4" s="8" customFormat="1" x14ac:dyDescent="0.2">
      <c r="D74" s="85"/>
    </row>
    <row r="75" spans="4:4" s="8" customFormat="1" x14ac:dyDescent="0.2">
      <c r="D75" s="85"/>
    </row>
    <row r="76" spans="4:4" s="8" customFormat="1" x14ac:dyDescent="0.2">
      <c r="D76" s="85"/>
    </row>
    <row r="77" spans="4:4" s="8" customFormat="1" x14ac:dyDescent="0.2">
      <c r="D77" s="85"/>
    </row>
    <row r="78" spans="4:4" s="8" customFormat="1" x14ac:dyDescent="0.2">
      <c r="D78" s="85"/>
    </row>
    <row r="79" spans="4:4" s="8" customFormat="1" x14ac:dyDescent="0.2">
      <c r="D79" s="85"/>
    </row>
    <row r="80" spans="4:4" s="8" customFormat="1" x14ac:dyDescent="0.2">
      <c r="D80" s="85"/>
    </row>
    <row r="81" spans="4:4" s="8" customFormat="1" x14ac:dyDescent="0.2">
      <c r="D81" s="85"/>
    </row>
    <row r="82" spans="4:4" s="8" customFormat="1" x14ac:dyDescent="0.2">
      <c r="D82" s="85"/>
    </row>
    <row r="83" spans="4:4" s="8" customFormat="1" x14ac:dyDescent="0.2">
      <c r="D83" s="85"/>
    </row>
    <row r="84" spans="4:4" s="8" customFormat="1" x14ac:dyDescent="0.2">
      <c r="D84" s="85"/>
    </row>
    <row r="85" spans="4:4" s="8" customFormat="1" x14ac:dyDescent="0.2">
      <c r="D85" s="85"/>
    </row>
    <row r="86" spans="4:4" s="8" customFormat="1" x14ac:dyDescent="0.2">
      <c r="D86" s="85"/>
    </row>
    <row r="87" spans="4:4" s="8" customFormat="1" x14ac:dyDescent="0.2">
      <c r="D87" s="85"/>
    </row>
    <row r="88" spans="4:4" s="8" customFormat="1" x14ac:dyDescent="0.2">
      <c r="D88" s="85"/>
    </row>
    <row r="89" spans="4:4" s="8" customFormat="1" x14ac:dyDescent="0.2">
      <c r="D89" s="85"/>
    </row>
    <row r="90" spans="4:4" s="8" customFormat="1" x14ac:dyDescent="0.2">
      <c r="D90" s="85"/>
    </row>
    <row r="91" spans="4:4" s="8" customFormat="1" x14ac:dyDescent="0.2">
      <c r="D91" s="85"/>
    </row>
    <row r="92" spans="4:4" s="8" customFormat="1" x14ac:dyDescent="0.2">
      <c r="D92" s="85"/>
    </row>
    <row r="93" spans="4:4" s="8" customFormat="1" x14ac:dyDescent="0.2">
      <c r="D93" s="85"/>
    </row>
    <row r="94" spans="4:4" s="8" customFormat="1" x14ac:dyDescent="0.2">
      <c r="D94" s="85"/>
    </row>
    <row r="95" spans="4:4" s="8" customFormat="1" x14ac:dyDescent="0.2">
      <c r="D95" s="85"/>
    </row>
    <row r="96" spans="4:4" s="8" customFormat="1" x14ac:dyDescent="0.2">
      <c r="D96" s="85"/>
    </row>
    <row r="97" spans="4:4" s="8" customFormat="1" x14ac:dyDescent="0.2">
      <c r="D97" s="85"/>
    </row>
    <row r="98" spans="4:4" s="8" customFormat="1" x14ac:dyDescent="0.2">
      <c r="D98" s="85"/>
    </row>
    <row r="99" spans="4:4" s="8" customFormat="1" x14ac:dyDescent="0.2">
      <c r="D99" s="85"/>
    </row>
    <row r="100" spans="4:4" s="8" customFormat="1" x14ac:dyDescent="0.2">
      <c r="D100" s="85"/>
    </row>
    <row r="101" spans="4:4" s="8" customFormat="1" x14ac:dyDescent="0.2">
      <c r="D101" s="85"/>
    </row>
    <row r="102" spans="4:4" s="8" customFormat="1" x14ac:dyDescent="0.2">
      <c r="D102" s="85"/>
    </row>
    <row r="103" spans="4:4" s="8" customFormat="1" x14ac:dyDescent="0.2">
      <c r="D103" s="85"/>
    </row>
    <row r="104" spans="4:4" s="8" customFormat="1" x14ac:dyDescent="0.2">
      <c r="D104" s="85"/>
    </row>
    <row r="105" spans="4:4" s="8" customFormat="1" x14ac:dyDescent="0.2">
      <c r="D105" s="85"/>
    </row>
    <row r="106" spans="4:4" s="8" customFormat="1" x14ac:dyDescent="0.2">
      <c r="D106" s="85"/>
    </row>
    <row r="107" spans="4:4" s="8" customFormat="1" x14ac:dyDescent="0.2">
      <c r="D107" s="85"/>
    </row>
    <row r="108" spans="4:4" s="8" customFormat="1" x14ac:dyDescent="0.2">
      <c r="D108" s="85"/>
    </row>
    <row r="109" spans="4:4" s="8" customFormat="1" x14ac:dyDescent="0.2">
      <c r="D109" s="85"/>
    </row>
    <row r="110" spans="4:4" s="8" customFormat="1" x14ac:dyDescent="0.2">
      <c r="D110" s="85"/>
    </row>
    <row r="111" spans="4:4" s="8" customFormat="1" x14ac:dyDescent="0.2">
      <c r="D111" s="85"/>
    </row>
    <row r="112" spans="4:4" s="8" customFormat="1" x14ac:dyDescent="0.2">
      <c r="D112" s="85"/>
    </row>
    <row r="113" spans="4:4" s="8" customFormat="1" x14ac:dyDescent="0.2">
      <c r="D113" s="85"/>
    </row>
    <row r="114" spans="4:4" s="8" customFormat="1" x14ac:dyDescent="0.2">
      <c r="D114" s="85"/>
    </row>
    <row r="115" spans="4:4" s="8" customFormat="1" x14ac:dyDescent="0.2">
      <c r="D115" s="85"/>
    </row>
    <row r="116" spans="4:4" s="8" customFormat="1" x14ac:dyDescent="0.2">
      <c r="D116" s="85"/>
    </row>
    <row r="117" spans="4:4" s="8" customFormat="1" x14ac:dyDescent="0.2">
      <c r="D117" s="85"/>
    </row>
    <row r="118" spans="4:4" s="8" customFormat="1" x14ac:dyDescent="0.2">
      <c r="D118" s="85"/>
    </row>
    <row r="119" spans="4:4" s="8" customFormat="1" x14ac:dyDescent="0.2">
      <c r="D119" s="85"/>
    </row>
    <row r="120" spans="4:4" s="8" customFormat="1" x14ac:dyDescent="0.2">
      <c r="D120" s="85"/>
    </row>
    <row r="121" spans="4:4" s="8" customFormat="1" x14ac:dyDescent="0.2">
      <c r="D121" s="85"/>
    </row>
    <row r="122" spans="4:4" s="8" customFormat="1" x14ac:dyDescent="0.2">
      <c r="D122" s="85"/>
    </row>
    <row r="123" spans="4:4" s="8" customFormat="1" x14ac:dyDescent="0.2">
      <c r="D123" s="85"/>
    </row>
    <row r="124" spans="4:4" s="8" customFormat="1" x14ac:dyDescent="0.2">
      <c r="D124" s="85"/>
    </row>
    <row r="125" spans="4:4" s="8" customFormat="1" x14ac:dyDescent="0.2">
      <c r="D125" s="85"/>
    </row>
    <row r="126" spans="4:4" s="8" customFormat="1" x14ac:dyDescent="0.2">
      <c r="D126" s="85"/>
    </row>
    <row r="127" spans="4:4" s="8" customFormat="1" x14ac:dyDescent="0.2">
      <c r="D127" s="85"/>
    </row>
    <row r="128" spans="4:4" s="8" customFormat="1" x14ac:dyDescent="0.2">
      <c r="D128" s="85"/>
    </row>
    <row r="129" spans="4:4" s="8" customFormat="1" x14ac:dyDescent="0.2">
      <c r="D129" s="85"/>
    </row>
    <row r="130" spans="4:4" s="8" customFormat="1" x14ac:dyDescent="0.2">
      <c r="D130" s="85"/>
    </row>
    <row r="131" spans="4:4" s="8" customFormat="1" x14ac:dyDescent="0.2">
      <c r="D131" s="85"/>
    </row>
    <row r="132" spans="4:4" s="8" customFormat="1" x14ac:dyDescent="0.2">
      <c r="D132" s="85"/>
    </row>
    <row r="133" spans="4:4" s="8" customFormat="1" x14ac:dyDescent="0.2">
      <c r="D133" s="85"/>
    </row>
    <row r="134" spans="4:4" s="8" customFormat="1" x14ac:dyDescent="0.2">
      <c r="D134" s="85"/>
    </row>
    <row r="135" spans="4:4" s="8" customFormat="1" x14ac:dyDescent="0.2">
      <c r="D135" s="85"/>
    </row>
    <row r="136" spans="4:4" s="8" customFormat="1" x14ac:dyDescent="0.2">
      <c r="D136" s="85"/>
    </row>
    <row r="137" spans="4:4" s="8" customFormat="1" x14ac:dyDescent="0.2">
      <c r="D137" s="85"/>
    </row>
    <row r="138" spans="4:4" s="8" customFormat="1" x14ac:dyDescent="0.2">
      <c r="D138" s="85"/>
    </row>
    <row r="139" spans="4:4" s="8" customFormat="1" x14ac:dyDescent="0.2">
      <c r="D139" s="85"/>
    </row>
    <row r="140" spans="4:4" s="8" customFormat="1" x14ac:dyDescent="0.2">
      <c r="D140" s="85"/>
    </row>
    <row r="141" spans="4:4" s="8" customFormat="1" x14ac:dyDescent="0.2">
      <c r="D141" s="85"/>
    </row>
    <row r="142" spans="4:4" s="8" customFormat="1" x14ac:dyDescent="0.2">
      <c r="D142" s="85"/>
    </row>
    <row r="143" spans="4:4" s="8" customFormat="1" x14ac:dyDescent="0.2">
      <c r="D143" s="85"/>
    </row>
    <row r="144" spans="4:4" s="8" customFormat="1" x14ac:dyDescent="0.2">
      <c r="D144" s="85"/>
    </row>
    <row r="145" spans="4:4" s="8" customFormat="1" x14ac:dyDescent="0.2">
      <c r="D145" s="85"/>
    </row>
    <row r="146" spans="4:4" s="8" customFormat="1" x14ac:dyDescent="0.2">
      <c r="D146" s="85"/>
    </row>
    <row r="147" spans="4:4" s="8" customFormat="1" x14ac:dyDescent="0.2">
      <c r="D147" s="85"/>
    </row>
    <row r="148" spans="4:4" s="8" customFormat="1" x14ac:dyDescent="0.2">
      <c r="D148" s="85"/>
    </row>
    <row r="149" spans="4:4" s="8" customFormat="1" x14ac:dyDescent="0.2">
      <c r="D149" s="85"/>
    </row>
    <row r="150" spans="4:4" s="8" customFormat="1" x14ac:dyDescent="0.2">
      <c r="D150" s="85"/>
    </row>
    <row r="151" spans="4:4" s="8" customFormat="1" x14ac:dyDescent="0.2">
      <c r="D151" s="85"/>
    </row>
    <row r="152" spans="4:4" s="8" customFormat="1" x14ac:dyDescent="0.2">
      <c r="D152" s="85"/>
    </row>
    <row r="153" spans="4:4" s="8" customFormat="1" x14ac:dyDescent="0.2">
      <c r="D153" s="85"/>
    </row>
    <row r="154" spans="4:4" s="8" customFormat="1" x14ac:dyDescent="0.2">
      <c r="D154" s="85"/>
    </row>
    <row r="155" spans="4:4" s="8" customFormat="1" x14ac:dyDescent="0.2">
      <c r="D155" s="85"/>
    </row>
    <row r="156" spans="4:4" s="8" customFormat="1" x14ac:dyDescent="0.2">
      <c r="D156" s="85"/>
    </row>
    <row r="157" spans="4:4" s="8" customFormat="1" x14ac:dyDescent="0.2">
      <c r="D157" s="85"/>
    </row>
    <row r="158" spans="4:4" s="8" customFormat="1" x14ac:dyDescent="0.2">
      <c r="D158" s="85"/>
    </row>
    <row r="159" spans="4:4" s="8" customFormat="1" x14ac:dyDescent="0.2">
      <c r="D159" s="85"/>
    </row>
    <row r="160" spans="4:4" s="8" customFormat="1" x14ac:dyDescent="0.2">
      <c r="D160" s="85"/>
    </row>
    <row r="161" spans="4:4" s="8" customFormat="1" x14ac:dyDescent="0.2">
      <c r="D161" s="85"/>
    </row>
    <row r="162" spans="4:4" s="8" customFormat="1" x14ac:dyDescent="0.2">
      <c r="D162" s="85"/>
    </row>
    <row r="163" spans="4:4" s="8" customFormat="1" x14ac:dyDescent="0.2">
      <c r="D163" s="85"/>
    </row>
    <row r="164" spans="4:4" s="8" customFormat="1" x14ac:dyDescent="0.2">
      <c r="D164" s="85"/>
    </row>
    <row r="165" spans="4:4" s="8" customFormat="1" x14ac:dyDescent="0.2">
      <c r="D165" s="85"/>
    </row>
    <row r="166" spans="4:4" s="8" customFormat="1" x14ac:dyDescent="0.2">
      <c r="D166" s="85"/>
    </row>
    <row r="167" spans="4:4" s="8" customFormat="1" x14ac:dyDescent="0.2">
      <c r="D167" s="85"/>
    </row>
    <row r="168" spans="4:4" s="8" customFormat="1" x14ac:dyDescent="0.2">
      <c r="D168" s="85"/>
    </row>
    <row r="169" spans="4:4" s="8" customFormat="1" x14ac:dyDescent="0.2">
      <c r="D169" s="85"/>
    </row>
    <row r="170" spans="4:4" s="8" customFormat="1" x14ac:dyDescent="0.2">
      <c r="D170" s="85"/>
    </row>
    <row r="171" spans="4:4" s="8" customFormat="1" x14ac:dyDescent="0.2">
      <c r="D171" s="85"/>
    </row>
    <row r="172" spans="4:4" s="8" customFormat="1" x14ac:dyDescent="0.2">
      <c r="D172" s="85"/>
    </row>
    <row r="173" spans="4:4" s="8" customFormat="1" x14ac:dyDescent="0.2">
      <c r="D173" s="85"/>
    </row>
    <row r="174" spans="4:4" s="8" customFormat="1" x14ac:dyDescent="0.2">
      <c r="D174" s="85"/>
    </row>
    <row r="175" spans="4:4" s="8" customFormat="1" x14ac:dyDescent="0.2">
      <c r="D175" s="85"/>
    </row>
    <row r="176" spans="4:4" s="8" customFormat="1" x14ac:dyDescent="0.2">
      <c r="D176" s="85"/>
    </row>
    <row r="177" spans="4:4" s="8" customFormat="1" x14ac:dyDescent="0.2">
      <c r="D177" s="85"/>
    </row>
    <row r="178" spans="4:4" s="8" customFormat="1" x14ac:dyDescent="0.2">
      <c r="D178" s="85"/>
    </row>
    <row r="179" spans="4:4" s="8" customFormat="1" x14ac:dyDescent="0.2">
      <c r="D179" s="85"/>
    </row>
    <row r="180" spans="4:4" s="8" customFormat="1" x14ac:dyDescent="0.2">
      <c r="D180" s="85"/>
    </row>
    <row r="181" spans="4:4" s="8" customFormat="1" x14ac:dyDescent="0.2">
      <c r="D181" s="85"/>
    </row>
    <row r="182" spans="4:4" s="8" customFormat="1" x14ac:dyDescent="0.2">
      <c r="D182" s="85"/>
    </row>
    <row r="183" spans="4:4" s="8" customFormat="1" x14ac:dyDescent="0.2">
      <c r="D183" s="85"/>
    </row>
    <row r="184" spans="4:4" s="8" customFormat="1" x14ac:dyDescent="0.2">
      <c r="D184" s="85"/>
    </row>
    <row r="185" spans="4:4" s="8" customFormat="1" x14ac:dyDescent="0.2">
      <c r="D185" s="85"/>
    </row>
    <row r="186" spans="4:4" s="8" customFormat="1" x14ac:dyDescent="0.2">
      <c r="D186" s="85"/>
    </row>
    <row r="187" spans="4:4" s="8" customFormat="1" x14ac:dyDescent="0.2">
      <c r="D187" s="85"/>
    </row>
    <row r="188" spans="4:4" s="8" customFormat="1" x14ac:dyDescent="0.2">
      <c r="D188" s="85"/>
    </row>
    <row r="189" spans="4:4" s="8" customFormat="1" x14ac:dyDescent="0.2">
      <c r="D189" s="85"/>
    </row>
    <row r="190" spans="4:4" s="8" customFormat="1" x14ac:dyDescent="0.2">
      <c r="D190" s="85"/>
    </row>
    <row r="191" spans="4:4" s="8" customFormat="1" x14ac:dyDescent="0.2">
      <c r="D191" s="85"/>
    </row>
    <row r="192" spans="4:4" s="8" customFormat="1" x14ac:dyDescent="0.2">
      <c r="D192" s="85"/>
    </row>
    <row r="193" spans="4:4" s="8" customFormat="1" x14ac:dyDescent="0.2">
      <c r="D193" s="85"/>
    </row>
    <row r="194" spans="4:4" s="8" customFormat="1" x14ac:dyDescent="0.2">
      <c r="D194" s="85"/>
    </row>
    <row r="195" spans="4:4" s="8" customFormat="1" x14ac:dyDescent="0.2">
      <c r="D195" s="85"/>
    </row>
    <row r="196" spans="4:4" s="8" customFormat="1" x14ac:dyDescent="0.2">
      <c r="D196" s="85"/>
    </row>
    <row r="197" spans="4:4" s="8" customFormat="1" x14ac:dyDescent="0.2">
      <c r="D197" s="85"/>
    </row>
    <row r="198" spans="4:4" s="8" customFormat="1" x14ac:dyDescent="0.2">
      <c r="D198" s="85"/>
    </row>
    <row r="199" spans="4:4" s="8" customFormat="1" x14ac:dyDescent="0.2">
      <c r="D199" s="85"/>
    </row>
    <row r="200" spans="4:4" s="8" customFormat="1" x14ac:dyDescent="0.2">
      <c r="D200" s="85"/>
    </row>
    <row r="201" spans="4:4" s="8" customFormat="1" x14ac:dyDescent="0.2">
      <c r="D201" s="85"/>
    </row>
    <row r="202" spans="4:4" s="8" customFormat="1" x14ac:dyDescent="0.2">
      <c r="D202" s="85"/>
    </row>
    <row r="203" spans="4:4" s="8" customFormat="1" x14ac:dyDescent="0.2">
      <c r="D203" s="85"/>
    </row>
    <row r="204" spans="4:4" s="8" customFormat="1" x14ac:dyDescent="0.2">
      <c r="D204" s="85"/>
    </row>
    <row r="205" spans="4:4" s="8" customFormat="1" x14ac:dyDescent="0.2">
      <c r="D205" s="85"/>
    </row>
    <row r="206" spans="4:4" s="8" customFormat="1" x14ac:dyDescent="0.2">
      <c r="D206" s="85"/>
    </row>
    <row r="207" spans="4:4" s="8" customFormat="1" x14ac:dyDescent="0.2">
      <c r="D207" s="85"/>
    </row>
    <row r="208" spans="4:4" s="8" customFormat="1" x14ac:dyDescent="0.2">
      <c r="D208" s="85"/>
    </row>
    <row r="209" spans="4:4" s="8" customFormat="1" x14ac:dyDescent="0.2">
      <c r="D209" s="85"/>
    </row>
    <row r="210" spans="4:4" s="8" customFormat="1" x14ac:dyDescent="0.2">
      <c r="D210" s="85"/>
    </row>
    <row r="211" spans="4:4" s="8" customFormat="1" x14ac:dyDescent="0.2">
      <c r="D211" s="85"/>
    </row>
    <row r="212" spans="4:4" s="8" customFormat="1" x14ac:dyDescent="0.2">
      <c r="D212" s="85"/>
    </row>
    <row r="213" spans="4:4" s="8" customFormat="1" x14ac:dyDescent="0.2">
      <c r="D213" s="85"/>
    </row>
    <row r="214" spans="4:4" s="8" customFormat="1" x14ac:dyDescent="0.2">
      <c r="D214" s="85"/>
    </row>
    <row r="215" spans="4:4" s="8" customFormat="1" x14ac:dyDescent="0.2">
      <c r="D215" s="85"/>
    </row>
    <row r="216" spans="4:4" s="8" customFormat="1" x14ac:dyDescent="0.2">
      <c r="D216" s="85"/>
    </row>
    <row r="217" spans="4:4" s="8" customFormat="1" x14ac:dyDescent="0.2">
      <c r="D217" s="85"/>
    </row>
    <row r="218" spans="4:4" s="8" customFormat="1" x14ac:dyDescent="0.2">
      <c r="D218" s="85"/>
    </row>
    <row r="219" spans="4:4" s="8" customFormat="1" x14ac:dyDescent="0.2">
      <c r="D219" s="85"/>
    </row>
    <row r="220" spans="4:4" s="8" customFormat="1" x14ac:dyDescent="0.2">
      <c r="D220" s="85"/>
    </row>
    <row r="221" spans="4:4" s="8" customFormat="1" x14ac:dyDescent="0.2">
      <c r="D221" s="85"/>
    </row>
    <row r="222" spans="4:4" s="8" customFormat="1" x14ac:dyDescent="0.2">
      <c r="D222" s="85"/>
    </row>
    <row r="223" spans="4:4" s="8" customFormat="1" x14ac:dyDescent="0.2">
      <c r="D223" s="85"/>
    </row>
    <row r="224" spans="4:4" s="8" customFormat="1" x14ac:dyDescent="0.2">
      <c r="D224" s="85"/>
    </row>
    <row r="225" spans="4:4" s="8" customFormat="1" x14ac:dyDescent="0.2">
      <c r="D225" s="85"/>
    </row>
    <row r="226" spans="4:4" s="8" customFormat="1" x14ac:dyDescent="0.2">
      <c r="D226" s="85"/>
    </row>
    <row r="227" spans="4:4" s="8" customFormat="1" x14ac:dyDescent="0.2">
      <c r="D227" s="85"/>
    </row>
    <row r="228" spans="4:4" s="8" customFormat="1" x14ac:dyDescent="0.2">
      <c r="D228" s="85"/>
    </row>
    <row r="229" spans="4:4" s="8" customFormat="1" x14ac:dyDescent="0.2">
      <c r="D229" s="85"/>
    </row>
    <row r="230" spans="4:4" s="8" customFormat="1" x14ac:dyDescent="0.2">
      <c r="D230" s="85"/>
    </row>
    <row r="231" spans="4:4" s="8" customFormat="1" x14ac:dyDescent="0.2">
      <c r="D231" s="85"/>
    </row>
    <row r="232" spans="4:4" s="8" customFormat="1" x14ac:dyDescent="0.2">
      <c r="D232" s="85"/>
    </row>
    <row r="233" spans="4:4" s="8" customFormat="1" x14ac:dyDescent="0.2">
      <c r="D233" s="85"/>
    </row>
    <row r="234" spans="4:4" s="8" customFormat="1" x14ac:dyDescent="0.2">
      <c r="D234" s="85"/>
    </row>
    <row r="235" spans="4:4" s="8" customFormat="1" x14ac:dyDescent="0.2">
      <c r="D235" s="85"/>
    </row>
    <row r="236" spans="4:4" s="8" customFormat="1" x14ac:dyDescent="0.2">
      <c r="D236" s="85"/>
    </row>
    <row r="237" spans="4:4" s="8" customFormat="1" x14ac:dyDescent="0.2">
      <c r="D237" s="85"/>
    </row>
    <row r="238" spans="4:4" s="8" customFormat="1" x14ac:dyDescent="0.2">
      <c r="D238" s="85"/>
    </row>
    <row r="239" spans="4:4" s="8" customFormat="1" x14ac:dyDescent="0.2">
      <c r="D239" s="85"/>
    </row>
    <row r="240" spans="4:4" s="8" customFormat="1" x14ac:dyDescent="0.2">
      <c r="D240" s="85"/>
    </row>
    <row r="241" spans="4:4" s="8" customFormat="1" x14ac:dyDescent="0.2">
      <c r="D241" s="85"/>
    </row>
    <row r="242" spans="4:4" s="8" customFormat="1" x14ac:dyDescent="0.2">
      <c r="D242" s="85"/>
    </row>
    <row r="243" spans="4:4" s="8" customFormat="1" x14ac:dyDescent="0.2">
      <c r="D243" s="85"/>
    </row>
    <row r="244" spans="4:4" s="8" customFormat="1" x14ac:dyDescent="0.2">
      <c r="D244" s="85"/>
    </row>
    <row r="245" spans="4:4" s="8" customFormat="1" x14ac:dyDescent="0.2">
      <c r="D245" s="85"/>
    </row>
    <row r="246" spans="4:4" s="8" customFormat="1" x14ac:dyDescent="0.2">
      <c r="D246" s="85"/>
    </row>
    <row r="247" spans="4:4" s="8" customFormat="1" x14ac:dyDescent="0.2">
      <c r="D247" s="85"/>
    </row>
    <row r="248" spans="4:4" s="8" customFormat="1" x14ac:dyDescent="0.2">
      <c r="D248" s="85"/>
    </row>
    <row r="249" spans="4:4" s="8" customFormat="1" x14ac:dyDescent="0.2">
      <c r="D249" s="85"/>
    </row>
    <row r="250" spans="4:4" s="8" customFormat="1" x14ac:dyDescent="0.2">
      <c r="D250" s="85"/>
    </row>
    <row r="251" spans="4:4" s="8" customFormat="1" x14ac:dyDescent="0.2">
      <c r="D251" s="85"/>
    </row>
    <row r="252" spans="4:4" s="8" customFormat="1" x14ac:dyDescent="0.2">
      <c r="D252" s="85"/>
    </row>
    <row r="253" spans="4:4" s="8" customFormat="1" x14ac:dyDescent="0.2">
      <c r="D253" s="85"/>
    </row>
    <row r="254" spans="4:4" s="8" customFormat="1" x14ac:dyDescent="0.2">
      <c r="D254" s="85"/>
    </row>
    <row r="255" spans="4:4" s="8" customFormat="1" x14ac:dyDescent="0.2">
      <c r="D255" s="85"/>
    </row>
    <row r="256" spans="4:4" s="8" customFormat="1" x14ac:dyDescent="0.2">
      <c r="D256" s="85"/>
    </row>
    <row r="257" spans="4:4" s="8" customFormat="1" x14ac:dyDescent="0.2">
      <c r="D257" s="85"/>
    </row>
    <row r="258" spans="4:4" s="8" customFormat="1" x14ac:dyDescent="0.2">
      <c r="D258" s="85"/>
    </row>
    <row r="259" spans="4:4" s="8" customFormat="1" x14ac:dyDescent="0.2">
      <c r="D259" s="85"/>
    </row>
    <row r="260" spans="4:4" s="8" customFormat="1" x14ac:dyDescent="0.2">
      <c r="D260" s="85"/>
    </row>
    <row r="261" spans="4:4" s="8" customFormat="1" x14ac:dyDescent="0.2">
      <c r="D261" s="85"/>
    </row>
    <row r="262" spans="4:4" s="8" customFormat="1" x14ac:dyDescent="0.2">
      <c r="D262" s="85"/>
    </row>
    <row r="263" spans="4:4" s="8" customFormat="1" x14ac:dyDescent="0.2">
      <c r="D263" s="85"/>
    </row>
    <row r="264" spans="4:4" s="8" customFormat="1" x14ac:dyDescent="0.2">
      <c r="D264" s="85"/>
    </row>
    <row r="265" spans="4:4" s="8" customFormat="1" x14ac:dyDescent="0.2">
      <c r="D265" s="85"/>
    </row>
    <row r="266" spans="4:4" s="8" customFormat="1" x14ac:dyDescent="0.2">
      <c r="D266" s="85"/>
    </row>
    <row r="267" spans="4:4" s="8" customFormat="1" x14ac:dyDescent="0.2">
      <c r="D267" s="85"/>
    </row>
    <row r="268" spans="4:4" s="8" customFormat="1" x14ac:dyDescent="0.2">
      <c r="D268" s="85"/>
    </row>
    <row r="269" spans="4:4" s="8" customFormat="1" x14ac:dyDescent="0.2">
      <c r="D269" s="85"/>
    </row>
    <row r="270" spans="4:4" s="8" customFormat="1" x14ac:dyDescent="0.2">
      <c r="D270" s="85"/>
    </row>
    <row r="271" spans="4:4" s="8" customFormat="1" x14ac:dyDescent="0.2">
      <c r="D271" s="85"/>
    </row>
    <row r="272" spans="4:4" s="8" customFormat="1" x14ac:dyDescent="0.2">
      <c r="D272" s="85"/>
    </row>
    <row r="273" spans="4:4" s="8" customFormat="1" x14ac:dyDescent="0.2">
      <c r="D273" s="85"/>
    </row>
    <row r="274" spans="4:4" s="8" customFormat="1" x14ac:dyDescent="0.2">
      <c r="D274" s="85"/>
    </row>
    <row r="275" spans="4:4" s="8" customFormat="1" x14ac:dyDescent="0.2">
      <c r="D275" s="85"/>
    </row>
    <row r="276" spans="4:4" s="8" customFormat="1" x14ac:dyDescent="0.2">
      <c r="D276" s="85"/>
    </row>
    <row r="277" spans="4:4" s="8" customFormat="1" x14ac:dyDescent="0.2">
      <c r="D277" s="85"/>
    </row>
    <row r="278" spans="4:4" s="8" customFormat="1" x14ac:dyDescent="0.2">
      <c r="D278" s="85"/>
    </row>
    <row r="279" spans="4:4" s="8" customFormat="1" x14ac:dyDescent="0.2">
      <c r="D279" s="85"/>
    </row>
    <row r="280" spans="4:4" s="8" customFormat="1" x14ac:dyDescent="0.2">
      <c r="D280" s="85"/>
    </row>
    <row r="281" spans="4:4" s="8" customFormat="1" x14ac:dyDescent="0.2">
      <c r="D281" s="85"/>
    </row>
    <row r="282" spans="4:4" s="8" customFormat="1" x14ac:dyDescent="0.2">
      <c r="D282" s="85"/>
    </row>
    <row r="283" spans="4:4" s="8" customFormat="1" x14ac:dyDescent="0.2">
      <c r="D283" s="85"/>
    </row>
    <row r="284" spans="4:4" s="8" customFormat="1" x14ac:dyDescent="0.2">
      <c r="D284" s="85"/>
    </row>
    <row r="285" spans="4:4" s="8" customFormat="1" x14ac:dyDescent="0.2">
      <c r="D285" s="85"/>
    </row>
    <row r="286" spans="4:4" s="8" customFormat="1" x14ac:dyDescent="0.2">
      <c r="D286" s="85"/>
    </row>
    <row r="287" spans="4:4" s="8" customFormat="1" x14ac:dyDescent="0.2">
      <c r="D287" s="85"/>
    </row>
    <row r="288" spans="4:4" s="8" customFormat="1" x14ac:dyDescent="0.2">
      <c r="D288" s="85"/>
    </row>
    <row r="289" spans="4:4" s="8" customFormat="1" x14ac:dyDescent="0.2">
      <c r="D289" s="85"/>
    </row>
    <row r="290" spans="4:4" s="8" customFormat="1" x14ac:dyDescent="0.2">
      <c r="D290" s="85"/>
    </row>
    <row r="291" spans="4:4" s="8" customFormat="1" x14ac:dyDescent="0.2">
      <c r="D291" s="85"/>
    </row>
    <row r="292" spans="4:4" s="8" customFormat="1" x14ac:dyDescent="0.2">
      <c r="D292" s="85"/>
    </row>
    <row r="293" spans="4:4" s="8" customFormat="1" x14ac:dyDescent="0.2">
      <c r="D293" s="85"/>
    </row>
    <row r="294" spans="4:4" s="8" customFormat="1" x14ac:dyDescent="0.2">
      <c r="D294" s="85"/>
    </row>
    <row r="295" spans="4:4" s="8" customFormat="1" x14ac:dyDescent="0.2">
      <c r="D295" s="85"/>
    </row>
    <row r="296" spans="4:4" s="8" customFormat="1" x14ac:dyDescent="0.2">
      <c r="D296" s="85"/>
    </row>
    <row r="297" spans="4:4" s="8" customFormat="1" x14ac:dyDescent="0.2">
      <c r="D297" s="85"/>
    </row>
    <row r="298" spans="4:4" s="8" customFormat="1" x14ac:dyDescent="0.2">
      <c r="D298" s="85"/>
    </row>
    <row r="299" spans="4:4" s="8" customFormat="1" x14ac:dyDescent="0.2">
      <c r="D299" s="85"/>
    </row>
    <row r="300" spans="4:4" s="8" customFormat="1" x14ac:dyDescent="0.2">
      <c r="D300" s="85"/>
    </row>
    <row r="301" spans="4:4" s="8" customFormat="1" x14ac:dyDescent="0.2">
      <c r="D301" s="85"/>
    </row>
    <row r="302" spans="4:4" s="8" customFormat="1" x14ac:dyDescent="0.2">
      <c r="D302" s="85"/>
    </row>
    <row r="303" spans="4:4" s="8" customFormat="1" x14ac:dyDescent="0.2">
      <c r="D303" s="85"/>
    </row>
    <row r="304" spans="4:4" s="8" customFormat="1" x14ac:dyDescent="0.2">
      <c r="D304" s="85"/>
    </row>
    <row r="305" spans="4:4" s="8" customFormat="1" x14ac:dyDescent="0.2">
      <c r="D305" s="85"/>
    </row>
    <row r="306" spans="4:4" s="8" customFormat="1" x14ac:dyDescent="0.2">
      <c r="D306" s="85"/>
    </row>
    <row r="307" spans="4:4" s="8" customFormat="1" x14ac:dyDescent="0.2">
      <c r="D307" s="85"/>
    </row>
    <row r="308" spans="4:4" s="8" customFormat="1" x14ac:dyDescent="0.2">
      <c r="D308" s="85"/>
    </row>
    <row r="309" spans="4:4" s="8" customFormat="1" x14ac:dyDescent="0.2">
      <c r="D309" s="85"/>
    </row>
    <row r="310" spans="4:4" s="8" customFormat="1" x14ac:dyDescent="0.2">
      <c r="D310" s="85"/>
    </row>
    <row r="311" spans="4:4" s="8" customFormat="1" x14ac:dyDescent="0.2">
      <c r="D311" s="85"/>
    </row>
    <row r="312" spans="4:4" s="8" customFormat="1" x14ac:dyDescent="0.2">
      <c r="D312" s="85"/>
    </row>
    <row r="313" spans="4:4" s="8" customFormat="1" x14ac:dyDescent="0.2">
      <c r="D313" s="85"/>
    </row>
    <row r="314" spans="4:4" s="8" customFormat="1" x14ac:dyDescent="0.2">
      <c r="D314" s="85"/>
    </row>
    <row r="315" spans="4:4" s="8" customFormat="1" x14ac:dyDescent="0.2">
      <c r="D315" s="85"/>
    </row>
    <row r="316" spans="4:4" s="8" customFormat="1" x14ac:dyDescent="0.2">
      <c r="D316" s="85"/>
    </row>
    <row r="317" spans="4:4" s="8" customFormat="1" x14ac:dyDescent="0.2">
      <c r="D317" s="85"/>
    </row>
    <row r="318" spans="4:4" s="8" customFormat="1" x14ac:dyDescent="0.2">
      <c r="D318" s="85"/>
    </row>
    <row r="319" spans="4:4" s="8" customFormat="1" x14ac:dyDescent="0.2">
      <c r="D319" s="85"/>
    </row>
    <row r="320" spans="4:4" s="8" customFormat="1" x14ac:dyDescent="0.2">
      <c r="D320" s="85"/>
    </row>
    <row r="321" spans="4:4" s="8" customFormat="1" x14ac:dyDescent="0.2">
      <c r="D321" s="85"/>
    </row>
    <row r="322" spans="4:4" s="8" customFormat="1" x14ac:dyDescent="0.2">
      <c r="D322" s="85"/>
    </row>
    <row r="323" spans="4:4" s="8" customFormat="1" x14ac:dyDescent="0.2">
      <c r="D323" s="85"/>
    </row>
    <row r="324" spans="4:4" s="8" customFormat="1" x14ac:dyDescent="0.2">
      <c r="D324" s="85"/>
    </row>
    <row r="325" spans="4:4" s="8" customFormat="1" x14ac:dyDescent="0.2">
      <c r="D325" s="85"/>
    </row>
    <row r="326" spans="4:4" s="8" customFormat="1" x14ac:dyDescent="0.2">
      <c r="D326" s="85"/>
    </row>
    <row r="327" spans="4:4" s="8" customFormat="1" x14ac:dyDescent="0.2">
      <c r="D327" s="85"/>
    </row>
    <row r="328" spans="4:4" s="8" customFormat="1" x14ac:dyDescent="0.2">
      <c r="D328" s="85"/>
    </row>
    <row r="329" spans="4:4" s="8" customFormat="1" x14ac:dyDescent="0.2">
      <c r="D329" s="85"/>
    </row>
    <row r="330" spans="4:4" s="8" customFormat="1" x14ac:dyDescent="0.2">
      <c r="D330" s="85"/>
    </row>
    <row r="331" spans="4:4" s="8" customFormat="1" x14ac:dyDescent="0.2">
      <c r="D331" s="85"/>
    </row>
    <row r="332" spans="4:4" s="8" customFormat="1" x14ac:dyDescent="0.2">
      <c r="D332" s="85"/>
    </row>
    <row r="333" spans="4:4" s="8" customFormat="1" x14ac:dyDescent="0.2">
      <c r="D333" s="85"/>
    </row>
    <row r="334" spans="4:4" s="8" customFormat="1" x14ac:dyDescent="0.2">
      <c r="D334" s="85"/>
    </row>
    <row r="335" spans="4:4" s="8" customFormat="1" x14ac:dyDescent="0.2">
      <c r="D335" s="85"/>
    </row>
    <row r="336" spans="4:4" s="8" customFormat="1" x14ac:dyDescent="0.2">
      <c r="D336" s="85"/>
    </row>
    <row r="337" spans="4:4" s="8" customFormat="1" x14ac:dyDescent="0.2">
      <c r="D337" s="85"/>
    </row>
    <row r="338" spans="4:4" s="8" customFormat="1" x14ac:dyDescent="0.2">
      <c r="D338" s="85"/>
    </row>
    <row r="339" spans="4:4" s="8" customFormat="1" x14ac:dyDescent="0.2">
      <c r="D339" s="85"/>
    </row>
    <row r="340" spans="4:4" s="8" customFormat="1" x14ac:dyDescent="0.2">
      <c r="D340" s="85"/>
    </row>
    <row r="341" spans="4:4" s="8" customFormat="1" x14ac:dyDescent="0.2">
      <c r="D341" s="85"/>
    </row>
    <row r="342" spans="4:4" s="8" customFormat="1" x14ac:dyDescent="0.2">
      <c r="D342" s="85"/>
    </row>
    <row r="343" spans="4:4" s="8" customFormat="1" x14ac:dyDescent="0.2">
      <c r="D343" s="85"/>
    </row>
    <row r="344" spans="4:4" s="8" customFormat="1" x14ac:dyDescent="0.2">
      <c r="D344" s="85"/>
    </row>
    <row r="345" spans="4:4" s="8" customFormat="1" x14ac:dyDescent="0.2">
      <c r="D345" s="85"/>
    </row>
    <row r="346" spans="4:4" s="8" customFormat="1" x14ac:dyDescent="0.2">
      <c r="D346" s="85"/>
    </row>
    <row r="347" spans="4:4" s="8" customFormat="1" x14ac:dyDescent="0.2">
      <c r="D347" s="85"/>
    </row>
    <row r="348" spans="4:4" s="8" customFormat="1" x14ac:dyDescent="0.2">
      <c r="D348" s="85"/>
    </row>
    <row r="349" spans="4:4" s="8" customFormat="1" x14ac:dyDescent="0.2">
      <c r="D349" s="85"/>
    </row>
    <row r="350" spans="4:4" s="8" customFormat="1" x14ac:dyDescent="0.2">
      <c r="D350" s="85"/>
    </row>
    <row r="351" spans="4:4" s="8" customFormat="1" x14ac:dyDescent="0.2">
      <c r="D351" s="85"/>
    </row>
    <row r="352" spans="4:4" s="8" customFormat="1" x14ac:dyDescent="0.2">
      <c r="D352" s="85"/>
    </row>
    <row r="353" spans="4:4" s="8" customFormat="1" x14ac:dyDescent="0.2">
      <c r="D353" s="85"/>
    </row>
  </sheetData>
  <sheetProtection algorithmName="SHA-512" hashValue="9waD9I38yZNwbyAHy0rT9EqzmDgKSK26LF856LUCho1GRVklkpO4LqxvUoM7qJQLKULSqNGrhL2QMChkq1ukng==" saltValue="38tSj+VhAZ2uDU1qVJG8DQ==" spinCount="100000" sheet="1" objects="1" scenarios="1" formatCells="0" formatColumns="0" formatRows="0"/>
  <mergeCells count="6">
    <mergeCell ref="B54:H54"/>
    <mergeCell ref="B14:H14"/>
    <mergeCell ref="B15:H15"/>
    <mergeCell ref="B8:H8"/>
    <mergeCell ref="H49:H51"/>
    <mergeCell ref="B9:H9"/>
  </mergeCells>
  <hyperlinks>
    <hyperlink ref="B56" location="'PT8-railway sleepers'!A1" display="Go to the top of the pag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10"/>
  <sheetViews>
    <sheetView zoomScale="84" zoomScaleNormal="84" workbookViewId="0"/>
  </sheetViews>
  <sheetFormatPr defaultColWidth="8.75" defaultRowHeight="12.75" x14ac:dyDescent="0.2"/>
  <cols>
    <col min="1" max="1" width="1.625" style="8" customWidth="1"/>
    <col min="2" max="2" width="30.625" style="11" customWidth="1"/>
    <col min="3" max="3" width="25.625" style="11" customWidth="1"/>
    <col min="4" max="4" width="1.625" style="11" customWidth="1"/>
    <col min="5" max="5" width="25.625" style="91" customWidth="1"/>
    <col min="6" max="6" width="15.625" style="11" customWidth="1"/>
    <col min="7" max="8" width="10.625" style="11" customWidth="1"/>
    <col min="9" max="9" width="55.625" style="11" customWidth="1"/>
    <col min="10" max="11" width="15.625" style="8" customWidth="1"/>
    <col min="12" max="60" width="8.75" style="8"/>
    <col min="61" max="16384" width="8.75" style="11"/>
  </cols>
  <sheetData>
    <row r="1" spans="1:60" x14ac:dyDescent="0.2">
      <c r="A1" s="10"/>
      <c r="B1" s="10"/>
      <c r="C1" s="10"/>
      <c r="D1" s="10"/>
      <c r="E1" s="61"/>
      <c r="F1" s="10"/>
      <c r="G1" s="10"/>
      <c r="H1" s="10"/>
      <c r="I1" s="10"/>
      <c r="J1" s="10"/>
      <c r="K1" s="10"/>
      <c r="L1" s="10"/>
    </row>
    <row r="2" spans="1:60" ht="20.25" x14ac:dyDescent="0.2">
      <c r="A2" s="10"/>
      <c r="B2" s="64" t="s">
        <v>35</v>
      </c>
      <c r="C2" s="65"/>
      <c r="D2" s="65"/>
      <c r="E2" s="66"/>
      <c r="F2" s="10"/>
      <c r="G2" s="10"/>
      <c r="H2" s="10"/>
      <c r="I2" s="10"/>
      <c r="J2" s="10"/>
      <c r="K2" s="10"/>
      <c r="L2" s="10"/>
    </row>
    <row r="3" spans="1:60" x14ac:dyDescent="0.2">
      <c r="A3" s="10"/>
      <c r="B3" s="67"/>
      <c r="C3" s="67"/>
      <c r="D3" s="67"/>
      <c r="E3" s="68"/>
      <c r="F3" s="10"/>
      <c r="G3" s="10"/>
      <c r="H3" s="10"/>
      <c r="I3" s="10"/>
      <c r="J3" s="10"/>
      <c r="K3" s="10"/>
      <c r="L3" s="10"/>
    </row>
    <row r="4" spans="1:60" ht="15" x14ac:dyDescent="0.2">
      <c r="A4" s="10"/>
      <c r="B4" s="69"/>
      <c r="C4" s="69"/>
      <c r="D4" s="69"/>
      <c r="E4" s="70"/>
      <c r="F4" s="10"/>
      <c r="G4" s="10"/>
      <c r="H4" s="10"/>
      <c r="I4" s="10"/>
      <c r="J4" s="10"/>
      <c r="K4" s="10"/>
      <c r="L4" s="10"/>
    </row>
    <row r="5" spans="1:60" ht="18" x14ac:dyDescent="0.2">
      <c r="A5" s="10"/>
      <c r="B5" s="55" t="s">
        <v>516</v>
      </c>
      <c r="C5" s="5"/>
      <c r="D5" s="5"/>
      <c r="E5" s="21"/>
      <c r="F5" s="71"/>
      <c r="G5" s="71"/>
      <c r="H5" s="71"/>
      <c r="I5" s="72"/>
      <c r="J5" s="10"/>
      <c r="K5" s="10"/>
      <c r="L5" s="10"/>
    </row>
    <row r="6" spans="1:60" s="75" customFormat="1" ht="13.5" thickBot="1" x14ac:dyDescent="0.25">
      <c r="A6" s="73"/>
      <c r="B6" s="33"/>
      <c r="C6" s="33"/>
      <c r="D6" s="33"/>
      <c r="E6" s="40"/>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s="75" customFormat="1" ht="14.25" x14ac:dyDescent="0.2">
      <c r="A7" s="73"/>
      <c r="B7" s="172" t="s">
        <v>494</v>
      </c>
      <c r="C7" s="173"/>
      <c r="D7" s="173"/>
      <c r="E7" s="174"/>
      <c r="F7" s="175"/>
      <c r="G7" s="175"/>
      <c r="H7" s="175"/>
      <c r="I7" s="1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0" s="75" customFormat="1" x14ac:dyDescent="0.2">
      <c r="A8" s="73"/>
      <c r="B8" s="177"/>
      <c r="C8" s="33"/>
      <c r="D8" s="33"/>
      <c r="E8" s="40"/>
      <c r="F8" s="73"/>
      <c r="G8" s="73"/>
      <c r="H8" s="73"/>
      <c r="I8" s="149"/>
      <c r="J8" s="73"/>
      <c r="K8" s="73"/>
      <c r="L8" s="73"/>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1:60" s="75" customFormat="1" ht="12.75" customHeight="1" x14ac:dyDescent="0.2">
      <c r="A9" s="73"/>
      <c r="B9" s="284" t="s">
        <v>673</v>
      </c>
      <c r="C9" s="59"/>
      <c r="D9" s="59"/>
      <c r="E9" s="59"/>
      <c r="F9" s="59"/>
      <c r="G9" s="2"/>
      <c r="H9" s="2"/>
      <c r="I9" s="283"/>
      <c r="J9" s="73"/>
      <c r="K9" s="73"/>
      <c r="L9" s="73"/>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s="75" customFormat="1" ht="15" x14ac:dyDescent="0.2">
      <c r="A10" s="73"/>
      <c r="B10" s="284" t="s">
        <v>674</v>
      </c>
      <c r="C10" s="59"/>
      <c r="D10" s="59"/>
      <c r="E10" s="59"/>
      <c r="F10" s="59"/>
      <c r="G10" s="2"/>
      <c r="H10" s="2"/>
      <c r="I10" s="283"/>
      <c r="J10" s="73"/>
      <c r="K10" s="73"/>
      <c r="L10" s="73"/>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60" s="75" customFormat="1" ht="15" thickBot="1" x14ac:dyDescent="0.25">
      <c r="A11" s="73"/>
      <c r="B11" s="189"/>
      <c r="C11" s="179"/>
      <c r="D11" s="179"/>
      <c r="E11" s="180"/>
      <c r="F11" s="181"/>
      <c r="G11" s="181"/>
      <c r="H11" s="181"/>
      <c r="I11" s="150"/>
      <c r="J11" s="73"/>
      <c r="K11" s="73"/>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60" s="75" customFormat="1" x14ac:dyDescent="0.2">
      <c r="A12" s="73"/>
      <c r="B12" s="33"/>
      <c r="C12" s="33"/>
      <c r="D12" s="33"/>
      <c r="E12" s="40"/>
      <c r="F12" s="73"/>
      <c r="G12" s="73"/>
      <c r="H12" s="73"/>
      <c r="I12" s="73"/>
      <c r="J12" s="73"/>
      <c r="K12" s="73"/>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60" s="75" customFormat="1" ht="14.25" x14ac:dyDescent="0.2">
      <c r="A13" s="73"/>
      <c r="B13" s="56" t="s">
        <v>493</v>
      </c>
      <c r="C13" s="57"/>
      <c r="D13" s="57"/>
      <c r="E13" s="58"/>
      <c r="F13" s="76"/>
      <c r="G13" s="76"/>
      <c r="H13" s="76"/>
      <c r="I13" s="76"/>
      <c r="J13" s="73"/>
      <c r="K13" s="73"/>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row>
    <row r="14" spans="1:60" s="8" customFormat="1" ht="30" customHeight="1" x14ac:dyDescent="0.2">
      <c r="B14" s="372" t="s">
        <v>301</v>
      </c>
      <c r="C14" s="372"/>
      <c r="D14" s="372"/>
      <c r="E14" s="372"/>
      <c r="F14" s="372"/>
      <c r="G14" s="372"/>
      <c r="H14" s="372"/>
      <c r="I14" s="372"/>
      <c r="J14" s="42"/>
      <c r="K14" s="42"/>
      <c r="L14" s="42"/>
    </row>
    <row r="15" spans="1:60" s="8" customFormat="1" ht="14.25" x14ac:dyDescent="0.2">
      <c r="B15" s="136"/>
      <c r="C15" s="136"/>
      <c r="D15" s="136"/>
      <c r="E15" s="136"/>
      <c r="F15" s="136"/>
      <c r="G15" s="136"/>
      <c r="H15" s="136"/>
      <c r="I15" s="136"/>
      <c r="J15" s="42"/>
      <c r="K15" s="42"/>
      <c r="L15" s="42"/>
    </row>
    <row r="16" spans="1:60" ht="15" x14ac:dyDescent="0.2">
      <c r="A16" s="10"/>
      <c r="B16" s="59" t="s">
        <v>422</v>
      </c>
      <c r="C16" s="80"/>
      <c r="D16" s="81"/>
      <c r="E16" s="81"/>
      <c r="F16" s="10"/>
      <c r="G16" s="10"/>
      <c r="H16" s="10"/>
      <c r="I16" s="10"/>
      <c r="J16" s="10"/>
      <c r="K16" s="10"/>
      <c r="BH16" s="11"/>
    </row>
    <row r="17" spans="1:65" ht="15" x14ac:dyDescent="0.2">
      <c r="A17" s="10"/>
      <c r="B17" s="73"/>
      <c r="C17" s="18"/>
      <c r="D17" s="31"/>
      <c r="E17" s="31"/>
      <c r="F17" s="31"/>
      <c r="G17" s="31"/>
      <c r="H17" s="31"/>
      <c r="I17" s="31"/>
      <c r="J17" s="10"/>
      <c r="K17" s="10"/>
      <c r="L17" s="10"/>
      <c r="M17" s="10"/>
      <c r="BI17" s="8"/>
    </row>
    <row r="18" spans="1:65" x14ac:dyDescent="0.2">
      <c r="A18" s="10"/>
      <c r="B18" s="82" t="s">
        <v>19</v>
      </c>
      <c r="C18" s="82"/>
      <c r="D18" s="82"/>
      <c r="E18" s="77"/>
      <c r="F18" s="77"/>
      <c r="G18" s="77"/>
      <c r="H18" s="77"/>
      <c r="I18" s="83"/>
      <c r="AS18" s="11"/>
      <c r="AT18" s="11"/>
      <c r="AU18" s="11"/>
      <c r="AV18" s="11"/>
      <c r="AW18" s="11"/>
      <c r="AX18" s="11"/>
      <c r="AY18" s="11"/>
      <c r="AZ18" s="11"/>
      <c r="BA18" s="11"/>
      <c r="BB18" s="11"/>
      <c r="BC18" s="11"/>
      <c r="BD18" s="11"/>
      <c r="BE18" s="11"/>
      <c r="BF18" s="11"/>
      <c r="BG18" s="11"/>
      <c r="BH18" s="11"/>
    </row>
    <row r="19" spans="1:65" x14ac:dyDescent="0.2">
      <c r="A19" s="10"/>
      <c r="B19" s="366" t="s">
        <v>651</v>
      </c>
      <c r="C19" s="366"/>
      <c r="D19" s="366"/>
      <c r="E19" s="366"/>
      <c r="F19" s="366"/>
      <c r="G19" s="366"/>
      <c r="H19" s="366"/>
      <c r="I19" s="366"/>
      <c r="AS19" s="11"/>
      <c r="AT19" s="11"/>
      <c r="AU19" s="11"/>
      <c r="AV19" s="11"/>
      <c r="AW19" s="11"/>
      <c r="AX19" s="11"/>
      <c r="AY19" s="11"/>
      <c r="AZ19" s="11"/>
      <c r="BA19" s="11"/>
      <c r="BB19" s="11"/>
      <c r="BC19" s="11"/>
      <c r="BD19" s="11"/>
      <c r="BE19" s="11"/>
      <c r="BF19" s="11"/>
      <c r="BG19" s="11"/>
      <c r="BH19" s="11"/>
    </row>
    <row r="20" spans="1:65" x14ac:dyDescent="0.2">
      <c r="A20" s="10"/>
      <c r="B20" s="366" t="s">
        <v>581</v>
      </c>
      <c r="C20" s="366"/>
      <c r="D20" s="366"/>
      <c r="E20" s="366"/>
      <c r="F20" s="366"/>
      <c r="G20" s="366"/>
      <c r="H20" s="366"/>
      <c r="I20" s="366"/>
      <c r="AS20" s="11"/>
      <c r="AT20" s="11"/>
      <c r="AU20" s="11"/>
      <c r="AV20" s="11"/>
      <c r="AW20" s="11"/>
      <c r="AX20" s="11"/>
      <c r="AY20" s="11"/>
      <c r="AZ20" s="11"/>
      <c r="BA20" s="11"/>
      <c r="BB20" s="11"/>
      <c r="BC20" s="11"/>
      <c r="BD20" s="11"/>
      <c r="BE20" s="11"/>
      <c r="BF20" s="11"/>
      <c r="BG20" s="11"/>
      <c r="BH20" s="11"/>
    </row>
    <row r="21" spans="1:65" ht="14.25" x14ac:dyDescent="0.2">
      <c r="A21" s="10"/>
      <c r="B21" s="94" t="s">
        <v>582</v>
      </c>
      <c r="C21" s="262"/>
      <c r="D21" s="262"/>
      <c r="E21" s="262"/>
      <c r="F21" s="262"/>
      <c r="G21" s="262"/>
      <c r="H21" s="262"/>
      <c r="I21" s="262"/>
      <c r="AS21" s="11"/>
      <c r="AT21" s="11"/>
      <c r="AU21" s="11"/>
      <c r="AV21" s="11"/>
      <c r="AW21" s="11"/>
      <c r="AX21" s="11"/>
      <c r="AY21" s="11"/>
      <c r="AZ21" s="11"/>
      <c r="BA21" s="11"/>
      <c r="BB21" s="11"/>
      <c r="BC21" s="11"/>
      <c r="BD21" s="11"/>
      <c r="BE21" s="11"/>
      <c r="BF21" s="11"/>
      <c r="BG21" s="11"/>
      <c r="BH21" s="11"/>
    </row>
    <row r="22" spans="1:65" x14ac:dyDescent="0.2">
      <c r="A22" s="10"/>
      <c r="B22" s="366" t="s">
        <v>363</v>
      </c>
      <c r="C22" s="366"/>
      <c r="D22" s="366"/>
      <c r="E22" s="366"/>
      <c r="F22" s="366"/>
      <c r="G22" s="366"/>
      <c r="H22" s="366"/>
      <c r="I22" s="366"/>
      <c r="J22" s="10"/>
      <c r="K22" s="10"/>
      <c r="L22" s="10"/>
      <c r="M22" s="10"/>
      <c r="N22" s="10"/>
      <c r="O22" s="10"/>
      <c r="P22" s="10"/>
      <c r="Q22" s="10"/>
      <c r="BI22" s="8"/>
      <c r="BJ22" s="8"/>
      <c r="BK22" s="8"/>
      <c r="BL22" s="8"/>
      <c r="BM22" s="8"/>
    </row>
    <row r="23" spans="1:65" s="8" customFormat="1" ht="15" x14ac:dyDescent="0.2">
      <c r="A23" s="10"/>
      <c r="D23" s="31"/>
      <c r="E23" s="32"/>
      <c r="F23" s="84"/>
      <c r="G23" s="84"/>
      <c r="H23" s="84"/>
      <c r="I23" s="10"/>
      <c r="J23" s="10"/>
      <c r="K23" s="10"/>
      <c r="L23" s="10"/>
    </row>
    <row r="24" spans="1:65" ht="15" x14ac:dyDescent="0.2">
      <c r="A24" s="10"/>
      <c r="B24" s="4" t="s">
        <v>0</v>
      </c>
      <c r="C24" s="4"/>
      <c r="D24" s="4"/>
      <c r="E24" s="12"/>
      <c r="F24" s="12"/>
      <c r="G24" s="12"/>
      <c r="H24" s="12"/>
      <c r="I24" s="13"/>
      <c r="AS24" s="11"/>
      <c r="AT24" s="11"/>
      <c r="AU24" s="11"/>
      <c r="AV24" s="11"/>
      <c r="AW24" s="11"/>
      <c r="AX24" s="11"/>
      <c r="AY24" s="11"/>
      <c r="AZ24" s="11"/>
      <c r="BA24" s="11"/>
      <c r="BB24" s="11"/>
      <c r="BC24" s="11"/>
      <c r="BD24" s="11"/>
      <c r="BE24" s="11"/>
      <c r="BF24" s="11"/>
      <c r="BG24" s="11"/>
      <c r="BH24" s="11"/>
    </row>
    <row r="25" spans="1:65" x14ac:dyDescent="0.2">
      <c r="A25" s="10"/>
      <c r="B25" s="6"/>
      <c r="C25" s="6"/>
      <c r="D25" s="6"/>
      <c r="E25" s="6"/>
      <c r="F25" s="6"/>
      <c r="G25" s="6"/>
      <c r="H25" s="6"/>
      <c r="I25" s="22"/>
      <c r="AS25" s="11"/>
      <c r="AT25" s="11"/>
      <c r="AU25" s="11"/>
      <c r="AV25" s="11"/>
      <c r="AW25" s="11"/>
      <c r="AX25" s="11"/>
      <c r="AY25" s="11"/>
      <c r="AZ25" s="11"/>
      <c r="BA25" s="11"/>
      <c r="BB25" s="11"/>
      <c r="BC25" s="11"/>
      <c r="BD25" s="11"/>
      <c r="BE25" s="11"/>
      <c r="BF25" s="11"/>
      <c r="BG25" s="11"/>
      <c r="BH25" s="11"/>
    </row>
    <row r="26" spans="1:65" ht="15" x14ac:dyDescent="0.2">
      <c r="A26" s="10"/>
      <c r="B26" s="14" t="s">
        <v>2</v>
      </c>
      <c r="C26" s="14"/>
      <c r="D26" s="14"/>
      <c r="E26" s="15" t="s">
        <v>4</v>
      </c>
      <c r="F26" s="16" t="s">
        <v>7</v>
      </c>
      <c r="G26" s="16" t="s">
        <v>3</v>
      </c>
      <c r="H26" s="16" t="s">
        <v>11</v>
      </c>
      <c r="I26" s="15" t="s">
        <v>34</v>
      </c>
      <c r="AS26" s="11"/>
      <c r="AT26" s="11"/>
      <c r="AU26" s="11"/>
      <c r="AV26" s="11"/>
      <c r="AW26" s="11"/>
      <c r="AX26" s="11"/>
      <c r="AY26" s="11"/>
      <c r="AZ26" s="11"/>
      <c r="BA26" s="11"/>
      <c r="BB26" s="11"/>
      <c r="BC26" s="11"/>
      <c r="BD26" s="11"/>
      <c r="BE26" s="11"/>
      <c r="BF26" s="11"/>
      <c r="BG26" s="11"/>
      <c r="BH26" s="11"/>
    </row>
    <row r="27" spans="1:65" ht="13.5" thickBot="1" x14ac:dyDescent="0.25">
      <c r="A27" s="10"/>
      <c r="B27" s="135"/>
      <c r="C27" s="14"/>
      <c r="D27" s="14"/>
      <c r="E27" s="15"/>
      <c r="F27" s="16"/>
      <c r="G27" s="16"/>
      <c r="H27" s="16"/>
      <c r="I27" s="15"/>
      <c r="AS27" s="11"/>
      <c r="AT27" s="11"/>
      <c r="AU27" s="11"/>
      <c r="AV27" s="11"/>
      <c r="AW27" s="11"/>
      <c r="AX27" s="11"/>
      <c r="AY27" s="11"/>
      <c r="AZ27" s="11"/>
      <c r="BA27" s="11"/>
      <c r="BB27" s="11"/>
      <c r="BC27" s="11"/>
      <c r="BD27" s="11"/>
      <c r="BE27" s="11"/>
      <c r="BF27" s="11"/>
      <c r="BG27" s="11"/>
      <c r="BH27" s="11"/>
    </row>
    <row r="28" spans="1:65" ht="17.25" thickTop="1" thickBot="1" x14ac:dyDescent="0.25">
      <c r="A28" s="10"/>
      <c r="B28" s="30" t="s">
        <v>429</v>
      </c>
      <c r="C28" s="313" t="s">
        <v>425</v>
      </c>
      <c r="D28" s="14"/>
      <c r="E28" s="30" t="str">
        <f>IF(C28='Pick-lists &amp; Defaults'!B119,"AREAdock",IF(C28='Pick-lists &amp; Defaults'!B120,"VOLUMEdock",""))</f>
        <v/>
      </c>
      <c r="F28" s="139" t="str">
        <f>INDEX('Pick-lists &amp; Defaults'!C118:C120,MATCH('PT8-dock and deck-fence'!C28,area_volume,0))</f>
        <v>??</v>
      </c>
      <c r="G28" s="7" t="str">
        <f>IF(C28='Pick-lists &amp; Defaults'!B119,"m2",IF(C28='Pick-lists &amp; Defaults'!B120,"m3",""))</f>
        <v/>
      </c>
      <c r="H28" s="7" t="s">
        <v>20</v>
      </c>
      <c r="I28" s="92" t="s">
        <v>430</v>
      </c>
      <c r="AS28" s="11"/>
      <c r="AT28" s="11"/>
      <c r="AU28" s="11"/>
      <c r="AV28" s="11"/>
      <c r="AW28" s="11"/>
      <c r="AX28" s="11"/>
      <c r="AY28" s="11"/>
      <c r="AZ28" s="11"/>
      <c r="BA28" s="11"/>
      <c r="BB28" s="11"/>
      <c r="BC28" s="11"/>
      <c r="BD28" s="11"/>
      <c r="BE28" s="11"/>
      <c r="BF28" s="11"/>
      <c r="BG28" s="11"/>
      <c r="BH28" s="11"/>
    </row>
    <row r="29" spans="1:65" ht="5.0999999999999996" customHeight="1" thickTop="1" x14ac:dyDescent="0.2">
      <c r="A29" s="10"/>
      <c r="B29" s="135"/>
      <c r="C29" s="135"/>
      <c r="D29" s="14"/>
      <c r="E29" s="30"/>
      <c r="F29" s="39"/>
      <c r="G29" s="7"/>
      <c r="H29" s="7"/>
      <c r="I29" s="15"/>
      <c r="AS29" s="11"/>
      <c r="AT29" s="11"/>
      <c r="AU29" s="11"/>
      <c r="AV29" s="11"/>
      <c r="AW29" s="11"/>
      <c r="AX29" s="11"/>
      <c r="AY29" s="11"/>
      <c r="AZ29" s="11"/>
      <c r="BA29" s="11"/>
      <c r="BB29" s="11"/>
      <c r="BC29" s="11"/>
      <c r="BD29" s="11"/>
      <c r="BE29" s="11"/>
      <c r="BF29" s="11"/>
      <c r="BG29" s="11"/>
      <c r="BH29" s="11"/>
    </row>
    <row r="30" spans="1:65" ht="25.5" x14ac:dyDescent="0.2">
      <c r="A30" s="10"/>
      <c r="B30" s="135" t="s">
        <v>431</v>
      </c>
      <c r="C30" s="135"/>
      <c r="D30" s="14"/>
      <c r="E30" s="30" t="s">
        <v>432</v>
      </c>
      <c r="F30" s="272">
        <v>6</v>
      </c>
      <c r="G30" s="7" t="s">
        <v>5</v>
      </c>
      <c r="H30" s="7" t="s">
        <v>13</v>
      </c>
      <c r="I30" s="15"/>
      <c r="AS30" s="11"/>
      <c r="AT30" s="11"/>
      <c r="AU30" s="11"/>
      <c r="AV30" s="11"/>
      <c r="AW30" s="11"/>
      <c r="AX30" s="11"/>
      <c r="AY30" s="11"/>
      <c r="AZ30" s="11"/>
      <c r="BA30" s="11"/>
      <c r="BB30" s="11"/>
      <c r="BC30" s="11"/>
      <c r="BD30" s="11"/>
      <c r="BE30" s="11"/>
      <c r="BF30" s="11"/>
      <c r="BG30" s="11"/>
      <c r="BH30" s="11"/>
    </row>
    <row r="31" spans="1:65" ht="5.0999999999999996" customHeight="1" x14ac:dyDescent="0.2">
      <c r="A31" s="10"/>
      <c r="B31" s="135"/>
      <c r="C31" s="135"/>
      <c r="D31" s="14"/>
      <c r="E31" s="30"/>
      <c r="F31" s="39"/>
      <c r="G31" s="7"/>
      <c r="H31" s="7"/>
      <c r="I31" s="15"/>
      <c r="AS31" s="11"/>
      <c r="AT31" s="11"/>
      <c r="AU31" s="11"/>
      <c r="AV31" s="11"/>
      <c r="AW31" s="11"/>
      <c r="AX31" s="11"/>
      <c r="AY31" s="11"/>
      <c r="AZ31" s="11"/>
      <c r="BA31" s="11"/>
      <c r="BB31" s="11"/>
      <c r="BC31" s="11"/>
      <c r="BD31" s="11"/>
      <c r="BE31" s="11"/>
      <c r="BF31" s="11"/>
      <c r="BG31" s="11"/>
      <c r="BH31" s="11"/>
    </row>
    <row r="32" spans="1:65" s="8" customFormat="1" x14ac:dyDescent="0.2">
      <c r="B32" s="362" t="s">
        <v>72</v>
      </c>
      <c r="C32" s="362"/>
      <c r="D32" s="34"/>
      <c r="E32" s="135" t="s">
        <v>73</v>
      </c>
      <c r="F32" s="273">
        <v>30</v>
      </c>
      <c r="G32" s="7" t="s">
        <v>10</v>
      </c>
      <c r="H32" s="7" t="s">
        <v>13</v>
      </c>
      <c r="I32" s="34" t="s">
        <v>95</v>
      </c>
    </row>
    <row r="33" spans="1:60" s="8" customFormat="1" ht="3" customHeight="1" x14ac:dyDescent="0.2">
      <c r="B33" s="296"/>
      <c r="C33" s="296"/>
      <c r="D33" s="34"/>
      <c r="E33" s="296"/>
      <c r="F33" s="7"/>
      <c r="G33" s="7"/>
      <c r="H33" s="7"/>
      <c r="I33" s="34"/>
    </row>
    <row r="34" spans="1:60" s="8" customFormat="1" ht="40.5" x14ac:dyDescent="0.2">
      <c r="B34" s="22" t="s">
        <v>721</v>
      </c>
      <c r="C34" s="296"/>
      <c r="D34" s="34"/>
      <c r="E34" s="296" t="s">
        <v>75</v>
      </c>
      <c r="F34" s="273">
        <v>365</v>
      </c>
      <c r="G34" s="7" t="s">
        <v>10</v>
      </c>
      <c r="H34" s="7" t="s">
        <v>13</v>
      </c>
      <c r="I34" s="146" t="s">
        <v>966</v>
      </c>
    </row>
    <row r="35" spans="1:60" s="8" customFormat="1" ht="5.0999999999999996" customHeight="1" thickBot="1" x14ac:dyDescent="0.25">
      <c r="B35" s="362"/>
      <c r="C35" s="362"/>
      <c r="D35" s="34"/>
      <c r="E35" s="22"/>
      <c r="F35" s="7"/>
      <c r="G35" s="19"/>
      <c r="H35" s="7"/>
      <c r="I35" s="34"/>
    </row>
    <row r="36" spans="1:60" s="8" customFormat="1" ht="33" customHeight="1" thickTop="1" thickBot="1" x14ac:dyDescent="0.25">
      <c r="B36" s="30" t="s">
        <v>74</v>
      </c>
      <c r="C36" s="313" t="s">
        <v>466</v>
      </c>
      <c r="D36" s="34"/>
      <c r="E36" s="22" t="s">
        <v>676</v>
      </c>
      <c r="F36" s="23" t="str">
        <f>INDEX('Pick-lists &amp; Defaults'!C104:C109,MATCH(C36,application_method_process,0))</f>
        <v>??</v>
      </c>
      <c r="G36" s="19" t="s">
        <v>10</v>
      </c>
      <c r="H36" s="19" t="s">
        <v>20</v>
      </c>
      <c r="I36" s="146" t="s">
        <v>471</v>
      </c>
    </row>
    <row r="37" spans="1:60" s="8" customFormat="1" ht="5.0999999999999996" customHeight="1" thickTop="1" x14ac:dyDescent="0.2">
      <c r="B37" s="135"/>
      <c r="C37" s="135"/>
      <c r="D37" s="135"/>
      <c r="E37" s="30"/>
      <c r="F37" s="7"/>
      <c r="G37" s="19"/>
      <c r="H37" s="19"/>
      <c r="I37" s="7"/>
    </row>
    <row r="38" spans="1:60" s="8" customFormat="1" ht="30" customHeight="1" x14ac:dyDescent="0.2">
      <c r="B38" s="362" t="s">
        <v>670</v>
      </c>
      <c r="C38" s="362"/>
      <c r="D38" s="34"/>
      <c r="E38" s="135" t="s">
        <v>194</v>
      </c>
      <c r="F38" s="274"/>
      <c r="G38" s="311" t="s">
        <v>874</v>
      </c>
      <c r="H38" s="19" t="s">
        <v>6</v>
      </c>
      <c r="I38" s="391" t="s">
        <v>672</v>
      </c>
    </row>
    <row r="39" spans="1:60" s="8" customFormat="1" ht="3" customHeight="1" x14ac:dyDescent="0.2">
      <c r="B39" s="296"/>
      <c r="C39" s="296"/>
      <c r="D39" s="34"/>
      <c r="E39" s="296"/>
      <c r="F39" s="296"/>
      <c r="G39" s="19"/>
      <c r="H39" s="19"/>
      <c r="I39" s="391"/>
    </row>
    <row r="40" spans="1:60" s="8" customFormat="1" ht="30" customHeight="1" x14ac:dyDescent="0.2">
      <c r="B40" s="362" t="s">
        <v>776</v>
      </c>
      <c r="C40" s="362"/>
      <c r="D40" s="34"/>
      <c r="E40" s="296" t="s">
        <v>196</v>
      </c>
      <c r="F40" s="274"/>
      <c r="G40" s="311" t="s">
        <v>874</v>
      </c>
      <c r="H40" s="19" t="s">
        <v>6</v>
      </c>
      <c r="I40" s="391"/>
    </row>
    <row r="41" spans="1:60" s="8" customFormat="1" ht="5.0999999999999996" customHeight="1" x14ac:dyDescent="0.2">
      <c r="B41" s="362"/>
      <c r="C41" s="362"/>
      <c r="D41" s="34"/>
      <c r="E41" s="22"/>
      <c r="F41" s="7"/>
      <c r="G41" s="19"/>
      <c r="H41" s="19"/>
      <c r="I41" s="391"/>
    </row>
    <row r="42" spans="1:60" s="8" customFormat="1" ht="30" customHeight="1" x14ac:dyDescent="0.2">
      <c r="B42" s="362" t="s">
        <v>671</v>
      </c>
      <c r="C42" s="362"/>
      <c r="D42" s="34"/>
      <c r="E42" s="135" t="s">
        <v>684</v>
      </c>
      <c r="F42" s="274"/>
      <c r="G42" s="311" t="s">
        <v>874</v>
      </c>
      <c r="H42" s="19" t="s">
        <v>6</v>
      </c>
      <c r="I42" s="391"/>
    </row>
    <row r="43" spans="1:60" ht="5.0999999999999996" customHeight="1" x14ac:dyDescent="0.2">
      <c r="A43" s="10"/>
      <c r="B43" s="135"/>
      <c r="C43" s="14"/>
      <c r="D43" s="14"/>
      <c r="E43" s="15"/>
      <c r="F43" s="16"/>
      <c r="G43" s="7"/>
      <c r="H43" s="7"/>
      <c r="I43" s="15"/>
      <c r="AS43" s="11"/>
      <c r="AT43" s="11"/>
      <c r="AU43" s="11"/>
      <c r="AV43" s="11"/>
      <c r="AW43" s="11"/>
      <c r="AX43" s="11"/>
      <c r="AY43" s="11"/>
      <c r="AZ43" s="11"/>
      <c r="BA43" s="11"/>
      <c r="BB43" s="11"/>
      <c r="BC43" s="11"/>
      <c r="BD43" s="11"/>
      <c r="BE43" s="11"/>
      <c r="BF43" s="11"/>
      <c r="BG43" s="11"/>
      <c r="BH43" s="11"/>
    </row>
    <row r="44" spans="1:60" s="8" customFormat="1" ht="14.25" x14ac:dyDescent="0.2">
      <c r="B44" s="135" t="s">
        <v>239</v>
      </c>
      <c r="C44" s="135"/>
      <c r="D44" s="34"/>
      <c r="E44" s="22" t="s">
        <v>178</v>
      </c>
      <c r="F44" s="280">
        <v>8000000</v>
      </c>
      <c r="G44" s="7" t="s">
        <v>326</v>
      </c>
      <c r="H44" s="7" t="s">
        <v>13</v>
      </c>
      <c r="I44" s="107"/>
    </row>
    <row r="45" spans="1:60" s="8" customFormat="1" x14ac:dyDescent="0.2">
      <c r="B45" s="135"/>
      <c r="C45" s="135"/>
      <c r="D45" s="34"/>
      <c r="E45" s="22"/>
      <c r="F45" s="7"/>
      <c r="G45" s="19"/>
      <c r="H45" s="7"/>
      <c r="I45" s="34"/>
    </row>
    <row r="46" spans="1:60" ht="15" x14ac:dyDescent="0.2">
      <c r="A46" s="10"/>
      <c r="B46" s="4" t="s">
        <v>1</v>
      </c>
      <c r="C46" s="4"/>
      <c r="D46" s="4"/>
      <c r="E46" s="4"/>
      <c r="F46" s="12"/>
      <c r="G46" s="12"/>
      <c r="H46" s="12"/>
      <c r="I46" s="12"/>
      <c r="AT46" s="11"/>
      <c r="AU46" s="11"/>
      <c r="AV46" s="11"/>
      <c r="AW46" s="11"/>
      <c r="AX46" s="11"/>
      <c r="AY46" s="11"/>
      <c r="AZ46" s="11"/>
      <c r="BA46" s="11"/>
      <c r="BB46" s="11"/>
      <c r="BC46" s="11"/>
      <c r="BD46" s="11"/>
      <c r="BE46" s="11"/>
      <c r="BF46" s="11"/>
      <c r="BG46" s="11"/>
      <c r="BH46" s="11"/>
    </row>
    <row r="47" spans="1:60" x14ac:dyDescent="0.2">
      <c r="A47" s="10"/>
      <c r="B47" s="6"/>
      <c r="C47" s="6"/>
      <c r="D47" s="6"/>
      <c r="E47" s="6"/>
      <c r="F47" s="6"/>
      <c r="G47" s="6"/>
      <c r="H47" s="6"/>
      <c r="I47" s="6"/>
      <c r="AT47" s="11"/>
      <c r="AU47" s="11"/>
      <c r="AV47" s="11"/>
      <c r="AW47" s="11"/>
      <c r="AX47" s="11"/>
      <c r="AY47" s="11"/>
      <c r="AZ47" s="11"/>
      <c r="BA47" s="11"/>
      <c r="BB47" s="11"/>
      <c r="BC47" s="11"/>
      <c r="BD47" s="11"/>
      <c r="BE47" s="11"/>
      <c r="BF47" s="11"/>
      <c r="BG47" s="11"/>
      <c r="BH47" s="11"/>
    </row>
    <row r="48" spans="1:60" ht="15" x14ac:dyDescent="0.2">
      <c r="A48" s="10"/>
      <c r="B48" s="14" t="s">
        <v>2</v>
      </c>
      <c r="C48" s="14"/>
      <c r="D48" s="14"/>
      <c r="E48" s="15" t="s">
        <v>4</v>
      </c>
      <c r="F48" s="16" t="s">
        <v>7</v>
      </c>
      <c r="G48" s="16" t="s">
        <v>3</v>
      </c>
      <c r="H48" s="16" t="s">
        <v>11</v>
      </c>
      <c r="I48" s="15" t="s">
        <v>34</v>
      </c>
      <c r="AT48" s="11"/>
      <c r="AU48" s="11"/>
      <c r="AV48" s="11"/>
      <c r="AW48" s="11"/>
      <c r="AX48" s="11"/>
      <c r="AY48" s="11"/>
      <c r="AZ48" s="11"/>
      <c r="BA48" s="11"/>
      <c r="BB48" s="11"/>
      <c r="BC48" s="11"/>
      <c r="BD48" s="11"/>
      <c r="BE48" s="11"/>
      <c r="BF48" s="11"/>
      <c r="BG48" s="11"/>
      <c r="BH48" s="11"/>
    </row>
    <row r="49" spans="1:60" x14ac:dyDescent="0.2">
      <c r="A49" s="10"/>
      <c r="B49" s="14"/>
      <c r="C49" s="14"/>
      <c r="D49" s="14"/>
      <c r="E49" s="15"/>
      <c r="F49" s="16"/>
      <c r="G49" s="16"/>
      <c r="H49" s="16"/>
      <c r="I49" s="15"/>
      <c r="AT49" s="11"/>
      <c r="AU49" s="11"/>
      <c r="AV49" s="11"/>
      <c r="AW49" s="11"/>
      <c r="AX49" s="11"/>
      <c r="AY49" s="11"/>
      <c r="AZ49" s="11"/>
      <c r="BA49" s="11"/>
      <c r="BB49" s="11"/>
      <c r="BC49" s="11"/>
      <c r="BD49" s="11"/>
      <c r="BE49" s="11"/>
      <c r="BF49" s="11"/>
      <c r="BG49" s="11"/>
      <c r="BH49" s="11"/>
    </row>
    <row r="50" spans="1:60" s="8" customFormat="1" ht="27.75" customHeight="1" x14ac:dyDescent="0.2">
      <c r="A50" s="10"/>
      <c r="B50" s="362" t="s">
        <v>438</v>
      </c>
      <c r="C50" s="362"/>
      <c r="D50" s="362"/>
      <c r="E50" s="30" t="s">
        <v>202</v>
      </c>
      <c r="F50" s="228" t="str">
        <f>IF(AND(ISNUMBER(area_volume_dock),ISNUMBER(Q_leach_TIME1_dock)),area_volume_dock*Ndock*Q_leach_TIME1_dock,"??")</f>
        <v>??</v>
      </c>
      <c r="G50" s="19" t="s">
        <v>794</v>
      </c>
      <c r="H50" s="19" t="s">
        <v>8</v>
      </c>
      <c r="I50" s="308" t="s">
        <v>875</v>
      </c>
    </row>
    <row r="51" spans="1:60" s="8" customFormat="1" ht="5.0999999999999996" customHeight="1" x14ac:dyDescent="0.2">
      <c r="A51" s="10"/>
      <c r="B51" s="296"/>
      <c r="C51" s="296"/>
      <c r="D51" s="296"/>
      <c r="E51" s="30"/>
      <c r="F51" s="30"/>
      <c r="G51" s="19"/>
      <c r="H51" s="19"/>
      <c r="I51" s="41"/>
    </row>
    <row r="52" spans="1:60" s="8" customFormat="1" ht="25.5" customHeight="1" x14ac:dyDescent="0.2">
      <c r="A52" s="10"/>
      <c r="B52" s="362" t="s">
        <v>777</v>
      </c>
      <c r="C52" s="362"/>
      <c r="D52" s="362"/>
      <c r="E52" s="30" t="s">
        <v>203</v>
      </c>
      <c r="F52" s="228" t="str">
        <f>IF(AND(ISNUMBER(area_volume_dock),ISNUMBER(Q_leach_TIME2_dock)),area_volume_dock*Ndock*Q_leach_TIME2_dock,"??")</f>
        <v>??</v>
      </c>
      <c r="G52" s="19" t="s">
        <v>794</v>
      </c>
      <c r="H52" s="19" t="s">
        <v>8</v>
      </c>
      <c r="I52" s="308" t="s">
        <v>876</v>
      </c>
    </row>
    <row r="53" spans="1:60" s="8" customFormat="1" ht="5.0999999999999996" customHeight="1" x14ac:dyDescent="0.2">
      <c r="A53" s="10"/>
      <c r="B53" s="135"/>
      <c r="C53" s="135"/>
      <c r="D53" s="135"/>
      <c r="E53" s="30"/>
      <c r="F53" s="30"/>
      <c r="G53" s="19"/>
      <c r="H53" s="19"/>
      <c r="I53" s="41"/>
    </row>
    <row r="54" spans="1:60" s="8" customFormat="1" ht="25.5" customHeight="1" x14ac:dyDescent="0.2">
      <c r="A54" s="10"/>
      <c r="B54" s="362" t="s">
        <v>439</v>
      </c>
      <c r="C54" s="362"/>
      <c r="D54" s="362"/>
      <c r="E54" s="30" t="s">
        <v>678</v>
      </c>
      <c r="F54" s="228" t="str">
        <f>IF(AND(ISNUMBER(area_volume_dock),ISNUMBER(Q_leach_TIME3_dock)),area_volume_dock*Ndock*Q_leach_TIME3_dock,"??")</f>
        <v>??</v>
      </c>
      <c r="G54" s="19" t="s">
        <v>794</v>
      </c>
      <c r="H54" s="19" t="s">
        <v>8</v>
      </c>
      <c r="I54" s="308" t="s">
        <v>877</v>
      </c>
    </row>
    <row r="55" spans="1:60" s="8" customFormat="1" ht="5.0999999999999996" customHeight="1" x14ac:dyDescent="0.2">
      <c r="A55" s="10"/>
      <c r="B55" s="135"/>
      <c r="C55" s="135"/>
      <c r="D55" s="135"/>
      <c r="E55" s="30"/>
      <c r="F55" s="30"/>
      <c r="G55" s="19"/>
      <c r="H55" s="19"/>
      <c r="I55" s="41"/>
    </row>
    <row r="56" spans="1:60" s="8" customFormat="1" ht="30" customHeight="1" x14ac:dyDescent="0.2">
      <c r="A56" s="10"/>
      <c r="B56" s="362" t="s">
        <v>240</v>
      </c>
      <c r="C56" s="362"/>
      <c r="D56" s="362"/>
      <c r="E56" s="30" t="s">
        <v>433</v>
      </c>
      <c r="F56" s="228" t="str">
        <f>IF(ISNUMBER(Qleach_TIME1_dock),Qleach_TIME1_dock/Vwater_dock,"??")</f>
        <v>??</v>
      </c>
      <c r="G56" s="19" t="s">
        <v>810</v>
      </c>
      <c r="H56" s="19" t="s">
        <v>8</v>
      </c>
      <c r="I56" s="41" t="s">
        <v>878</v>
      </c>
    </row>
    <row r="57" spans="1:60" s="8" customFormat="1" ht="5.0999999999999996" customHeight="1" x14ac:dyDescent="0.2">
      <c r="A57" s="10"/>
      <c r="B57" s="296"/>
      <c r="C57" s="296"/>
      <c r="D57" s="296"/>
      <c r="E57" s="30"/>
      <c r="F57" s="30"/>
      <c r="G57" s="19"/>
      <c r="H57" s="19"/>
      <c r="I57" s="41"/>
    </row>
    <row r="58" spans="1:60" s="8" customFormat="1" ht="30" customHeight="1" x14ac:dyDescent="0.2">
      <c r="A58" s="10"/>
      <c r="B58" s="362" t="s">
        <v>764</v>
      </c>
      <c r="C58" s="362"/>
      <c r="D58" s="362"/>
      <c r="E58" s="30" t="s">
        <v>434</v>
      </c>
      <c r="F58" s="228" t="str">
        <f>IF(ISNUMBER(Qleach_TIME2_dock),Qleach_TIME2_dock/Vwater_dock,"??")</f>
        <v>??</v>
      </c>
      <c r="G58" s="19" t="s">
        <v>810</v>
      </c>
      <c r="H58" s="19" t="s">
        <v>8</v>
      </c>
      <c r="I58" s="41" t="s">
        <v>879</v>
      </c>
    </row>
    <row r="59" spans="1:60" s="8" customFormat="1" ht="5.0999999999999996" customHeight="1" x14ac:dyDescent="0.2">
      <c r="A59" s="10"/>
      <c r="B59" s="135"/>
      <c r="C59" s="135"/>
      <c r="D59" s="135"/>
      <c r="E59" s="30"/>
      <c r="F59" s="30"/>
      <c r="G59" s="19"/>
      <c r="H59" s="19"/>
      <c r="I59" s="41"/>
    </row>
    <row r="60" spans="1:60" s="8" customFormat="1" ht="30" customHeight="1" x14ac:dyDescent="0.2">
      <c r="A60" s="10"/>
      <c r="B60" s="362" t="s">
        <v>241</v>
      </c>
      <c r="C60" s="362"/>
      <c r="D60" s="362"/>
      <c r="E60" s="30" t="s">
        <v>778</v>
      </c>
      <c r="F60" s="228" t="str">
        <f>IF(ISNUMBER(Qleach_TIME3_dock),Qleach_TIME3_dock/Vwater_dock,"??")</f>
        <v>??</v>
      </c>
      <c r="G60" s="19" t="s">
        <v>810</v>
      </c>
      <c r="H60" s="19" t="s">
        <v>8</v>
      </c>
      <c r="I60" s="41" t="s">
        <v>880</v>
      </c>
    </row>
    <row r="61" spans="1:60" s="8" customFormat="1" x14ac:dyDescent="0.2">
      <c r="A61" s="10"/>
      <c r="B61" s="135"/>
      <c r="C61" s="135"/>
      <c r="D61" s="135"/>
      <c r="E61" s="30"/>
      <c r="F61" s="16"/>
      <c r="G61" s="7"/>
      <c r="H61" s="7"/>
      <c r="I61" s="20"/>
    </row>
    <row r="62" spans="1:60" s="8" customFormat="1" x14ac:dyDescent="0.2">
      <c r="B62" s="86" t="s">
        <v>12</v>
      </c>
      <c r="G62" s="74"/>
      <c r="H62" s="74"/>
      <c r="I62" s="85"/>
    </row>
    <row r="63" spans="1:60" s="73" customFormat="1" x14ac:dyDescent="0.2">
      <c r="C63" s="115"/>
      <c r="G63" s="94"/>
      <c r="I63" s="94"/>
    </row>
    <row r="64" spans="1:60" s="73" customFormat="1" x14ac:dyDescent="0.2">
      <c r="B64" s="307" t="s">
        <v>818</v>
      </c>
      <c r="C64" s="115"/>
      <c r="G64" s="305"/>
      <c r="I64" s="305"/>
    </row>
    <row r="65" spans="1:65" s="73" customFormat="1" x14ac:dyDescent="0.2">
      <c r="C65" s="115"/>
      <c r="G65" s="94"/>
      <c r="I65" s="94"/>
    </row>
    <row r="66" spans="1:65" ht="15" x14ac:dyDescent="0.2">
      <c r="A66" s="10"/>
      <c r="B66" s="59" t="s">
        <v>517</v>
      </c>
      <c r="C66" s="80"/>
      <c r="D66" s="81"/>
      <c r="E66" s="81"/>
      <c r="F66" s="10"/>
      <c r="G66" s="10"/>
      <c r="H66" s="10"/>
      <c r="I66" s="10"/>
      <c r="J66" s="10"/>
      <c r="K66" s="10"/>
      <c r="BH66" s="11"/>
    </row>
    <row r="67" spans="1:65" ht="15" x14ac:dyDescent="0.2">
      <c r="A67" s="10"/>
      <c r="B67" s="73"/>
      <c r="C67" s="18"/>
      <c r="D67" s="31"/>
      <c r="E67" s="31"/>
      <c r="F67" s="31"/>
      <c r="G67" s="31"/>
      <c r="H67" s="31"/>
      <c r="I67" s="31"/>
      <c r="J67" s="10"/>
      <c r="K67" s="10"/>
      <c r="L67" s="10"/>
      <c r="M67" s="10"/>
      <c r="BI67" s="8"/>
    </row>
    <row r="68" spans="1:65" x14ac:dyDescent="0.2">
      <c r="A68" s="10"/>
      <c r="B68" s="82" t="s">
        <v>19</v>
      </c>
      <c r="C68" s="82"/>
      <c r="D68" s="82"/>
      <c r="E68" s="77"/>
      <c r="F68" s="77"/>
      <c r="G68" s="77"/>
      <c r="H68" s="77"/>
      <c r="I68" s="83"/>
      <c r="AS68" s="11"/>
      <c r="AT68" s="11"/>
      <c r="AU68" s="11"/>
      <c r="AV68" s="11"/>
      <c r="AW68" s="11"/>
      <c r="AX68" s="11"/>
      <c r="AY68" s="11"/>
      <c r="AZ68" s="11"/>
      <c r="BA68" s="11"/>
      <c r="BB68" s="11"/>
      <c r="BC68" s="11"/>
      <c r="BD68" s="11"/>
      <c r="BE68" s="11"/>
      <c r="BF68" s="11"/>
      <c r="BG68" s="11"/>
      <c r="BH68" s="11"/>
    </row>
    <row r="69" spans="1:65" x14ac:dyDescent="0.2">
      <c r="A69" s="10"/>
      <c r="B69" s="366" t="s">
        <v>719</v>
      </c>
      <c r="C69" s="366"/>
      <c r="D69" s="366"/>
      <c r="E69" s="366"/>
      <c r="F69" s="366"/>
      <c r="G69" s="366"/>
      <c r="H69" s="366"/>
      <c r="I69" s="366"/>
      <c r="AS69" s="11"/>
      <c r="AT69" s="11"/>
      <c r="AU69" s="11"/>
      <c r="AV69" s="11"/>
      <c r="AW69" s="11"/>
      <c r="AX69" s="11"/>
      <c r="AY69" s="11"/>
      <c r="AZ69" s="11"/>
      <c r="BA69" s="11"/>
      <c r="BB69" s="11"/>
      <c r="BC69" s="11"/>
      <c r="BD69" s="11"/>
      <c r="BE69" s="11"/>
      <c r="BF69" s="11"/>
      <c r="BG69" s="11"/>
      <c r="BH69" s="11"/>
    </row>
    <row r="70" spans="1:65" ht="14.25" x14ac:dyDescent="0.2">
      <c r="A70" s="10"/>
      <c r="B70" s="94" t="s">
        <v>787</v>
      </c>
      <c r="C70" s="262"/>
      <c r="D70" s="262"/>
      <c r="E70" s="262"/>
      <c r="F70" s="262"/>
      <c r="G70" s="262"/>
      <c r="H70" s="262"/>
      <c r="I70" s="262"/>
      <c r="AS70" s="11"/>
      <c r="AT70" s="11"/>
      <c r="AU70" s="11"/>
      <c r="AV70" s="11"/>
      <c r="AW70" s="11"/>
      <c r="AX70" s="11"/>
      <c r="AY70" s="11"/>
      <c r="AZ70" s="11"/>
      <c r="BA70" s="11"/>
      <c r="BB70" s="11"/>
      <c r="BC70" s="11"/>
      <c r="BD70" s="11"/>
      <c r="BE70" s="11"/>
      <c r="BF70" s="11"/>
      <c r="BG70" s="11"/>
      <c r="BH70" s="11"/>
    </row>
    <row r="71" spans="1:65" x14ac:dyDescent="0.2">
      <c r="A71" s="10"/>
      <c r="B71" s="366" t="s">
        <v>278</v>
      </c>
      <c r="C71" s="366"/>
      <c r="D71" s="366"/>
      <c r="E71" s="366"/>
      <c r="F71" s="366"/>
      <c r="G71" s="366"/>
      <c r="H71" s="366"/>
      <c r="I71" s="366"/>
      <c r="J71" s="10"/>
      <c r="K71" s="10"/>
      <c r="L71" s="10"/>
      <c r="M71" s="10"/>
      <c r="N71" s="10"/>
      <c r="O71" s="10"/>
      <c r="P71" s="10"/>
      <c r="Q71" s="10"/>
      <c r="BI71" s="8"/>
      <c r="BJ71" s="8"/>
      <c r="BK71" s="8"/>
      <c r="BL71" s="8"/>
      <c r="BM71" s="8"/>
    </row>
    <row r="72" spans="1:65" s="8" customFormat="1" ht="15" x14ac:dyDescent="0.2">
      <c r="A72" s="10"/>
      <c r="D72" s="31"/>
      <c r="E72" s="32"/>
      <c r="F72" s="84"/>
      <c r="G72" s="84"/>
      <c r="H72" s="84"/>
      <c r="I72" s="10"/>
      <c r="J72" s="10"/>
      <c r="K72" s="10"/>
      <c r="L72" s="10"/>
    </row>
    <row r="73" spans="1:65" ht="15" x14ac:dyDescent="0.2">
      <c r="A73" s="10"/>
      <c r="B73" s="4" t="s">
        <v>0</v>
      </c>
      <c r="C73" s="4"/>
      <c r="D73" s="4"/>
      <c r="E73" s="12"/>
      <c r="F73" s="12"/>
      <c r="G73" s="12"/>
      <c r="H73" s="12"/>
      <c r="I73" s="13"/>
      <c r="AS73" s="11"/>
      <c r="AT73" s="11"/>
      <c r="AU73" s="11"/>
      <c r="AV73" s="11"/>
      <c r="AW73" s="11"/>
      <c r="AX73" s="11"/>
      <c r="AY73" s="11"/>
      <c r="AZ73" s="11"/>
      <c r="BA73" s="11"/>
      <c r="BB73" s="11"/>
      <c r="BC73" s="11"/>
      <c r="BD73" s="11"/>
      <c r="BE73" s="11"/>
      <c r="BF73" s="11"/>
      <c r="BG73" s="11"/>
      <c r="BH73" s="11"/>
    </row>
    <row r="74" spans="1:65" x14ac:dyDescent="0.2">
      <c r="A74" s="10"/>
      <c r="B74" s="6"/>
      <c r="C74" s="6"/>
      <c r="D74" s="6"/>
      <c r="E74" s="6"/>
      <c r="F74" s="6"/>
      <c r="G74" s="6"/>
      <c r="H74" s="6"/>
      <c r="I74" s="22"/>
      <c r="AS74" s="11"/>
      <c r="AT74" s="11"/>
      <c r="AU74" s="11"/>
      <c r="AV74" s="11"/>
      <c r="AW74" s="11"/>
      <c r="AX74" s="11"/>
      <c r="AY74" s="11"/>
      <c r="AZ74" s="11"/>
      <c r="BA74" s="11"/>
      <c r="BB74" s="11"/>
      <c r="BC74" s="11"/>
      <c r="BD74" s="11"/>
      <c r="BE74" s="11"/>
      <c r="BF74" s="11"/>
      <c r="BG74" s="11"/>
      <c r="BH74" s="11"/>
    </row>
    <row r="75" spans="1:65" ht="15" x14ac:dyDescent="0.2">
      <c r="A75" s="10"/>
      <c r="B75" s="14" t="s">
        <v>2</v>
      </c>
      <c r="C75" s="14"/>
      <c r="D75" s="14"/>
      <c r="E75" s="15" t="s">
        <v>4</v>
      </c>
      <c r="F75" s="16" t="s">
        <v>7</v>
      </c>
      <c r="G75" s="16" t="s">
        <v>3</v>
      </c>
      <c r="H75" s="16" t="s">
        <v>11</v>
      </c>
      <c r="I75" s="15" t="s">
        <v>34</v>
      </c>
      <c r="AS75" s="11"/>
      <c r="AT75" s="11"/>
      <c r="AU75" s="11"/>
      <c r="AV75" s="11"/>
      <c r="AW75" s="11"/>
      <c r="AX75" s="11"/>
      <c r="AY75" s="11"/>
      <c r="AZ75" s="11"/>
      <c r="BA75" s="11"/>
      <c r="BB75" s="11"/>
      <c r="BC75" s="11"/>
      <c r="BD75" s="11"/>
      <c r="BE75" s="11"/>
      <c r="BF75" s="11"/>
      <c r="BG75" s="11"/>
      <c r="BH75" s="11"/>
    </row>
    <row r="76" spans="1:65" x14ac:dyDescent="0.2">
      <c r="A76" s="10"/>
      <c r="B76" s="135"/>
      <c r="C76" s="14"/>
      <c r="D76" s="14"/>
      <c r="E76" s="15"/>
      <c r="F76" s="16"/>
      <c r="G76" s="16"/>
      <c r="H76" s="16"/>
      <c r="I76" s="15"/>
      <c r="AS76" s="11"/>
      <c r="AT76" s="11"/>
      <c r="AU76" s="11"/>
      <c r="AV76" s="11"/>
      <c r="AW76" s="11"/>
      <c r="AX76" s="11"/>
      <c r="AY76" s="11"/>
      <c r="AZ76" s="11"/>
      <c r="BA76" s="11"/>
      <c r="BB76" s="11"/>
      <c r="BC76" s="11"/>
      <c r="BD76" s="11"/>
      <c r="BE76" s="11"/>
      <c r="BF76" s="11"/>
      <c r="BG76" s="11"/>
      <c r="BH76" s="11"/>
    </row>
    <row r="77" spans="1:65" ht="15" x14ac:dyDescent="0.2">
      <c r="A77" s="10"/>
      <c r="B77" s="30" t="s">
        <v>152</v>
      </c>
      <c r="C77" s="135"/>
      <c r="D77" s="14"/>
      <c r="E77" s="30" t="s">
        <v>435</v>
      </c>
      <c r="F77" s="272">
        <v>77.099999999999994</v>
      </c>
      <c r="G77" s="7" t="s">
        <v>14</v>
      </c>
      <c r="H77" s="7" t="s">
        <v>13</v>
      </c>
      <c r="I77" s="92"/>
      <c r="AS77" s="11"/>
      <c r="AT77" s="11"/>
      <c r="AU77" s="11"/>
      <c r="AV77" s="11"/>
      <c r="AW77" s="11"/>
      <c r="AX77" s="11"/>
      <c r="AY77" s="11"/>
      <c r="AZ77" s="11"/>
      <c r="BA77" s="11"/>
      <c r="BB77" s="11"/>
      <c r="BC77" s="11"/>
      <c r="BD77" s="11"/>
      <c r="BE77" s="11"/>
      <c r="BF77" s="11"/>
      <c r="BG77" s="11"/>
      <c r="BH77" s="11"/>
    </row>
    <row r="78" spans="1:65" ht="5.0999999999999996" customHeight="1" x14ac:dyDescent="0.2">
      <c r="A78" s="10"/>
      <c r="B78" s="135"/>
      <c r="C78" s="135"/>
      <c r="D78" s="14"/>
      <c r="E78" s="30"/>
      <c r="F78" s="272"/>
      <c r="G78" s="7"/>
      <c r="H78" s="7"/>
      <c r="I78" s="15"/>
      <c r="AS78" s="11"/>
      <c r="AT78" s="11"/>
      <c r="AU78" s="11"/>
      <c r="AV78" s="11"/>
      <c r="AW78" s="11"/>
      <c r="AX78" s="11"/>
      <c r="AY78" s="11"/>
      <c r="AZ78" s="11"/>
      <c r="BA78" s="11"/>
      <c r="BB78" s="11"/>
      <c r="BC78" s="11"/>
      <c r="BD78" s="11"/>
      <c r="BE78" s="11"/>
      <c r="BF78" s="11"/>
      <c r="BG78" s="11"/>
      <c r="BH78" s="11"/>
    </row>
    <row r="79" spans="1:65" ht="14.25" x14ac:dyDescent="0.2">
      <c r="A79" s="10"/>
      <c r="B79" s="135" t="s">
        <v>436</v>
      </c>
      <c r="C79" s="135"/>
      <c r="D79" s="14"/>
      <c r="E79" s="30" t="s">
        <v>437</v>
      </c>
      <c r="F79" s="272">
        <v>10</v>
      </c>
      <c r="G79" s="7" t="s">
        <v>5</v>
      </c>
      <c r="H79" s="7" t="s">
        <v>13</v>
      </c>
      <c r="I79" s="15"/>
      <c r="AS79" s="11"/>
      <c r="AT79" s="11"/>
      <c r="AU79" s="11"/>
      <c r="AV79" s="11"/>
      <c r="AW79" s="11"/>
      <c r="AX79" s="11"/>
      <c r="AY79" s="11"/>
      <c r="AZ79" s="11"/>
      <c r="BA79" s="11"/>
      <c r="BB79" s="11"/>
      <c r="BC79" s="11"/>
      <c r="BD79" s="11"/>
      <c r="BE79" s="11"/>
      <c r="BF79" s="11"/>
      <c r="BG79" s="11"/>
      <c r="BH79" s="11"/>
    </row>
    <row r="80" spans="1:65" ht="5.0999999999999996" customHeight="1" x14ac:dyDescent="0.2">
      <c r="A80" s="10"/>
      <c r="B80" s="135"/>
      <c r="C80" s="135"/>
      <c r="D80" s="14"/>
      <c r="E80" s="30"/>
      <c r="F80" s="272"/>
      <c r="G80" s="7"/>
      <c r="H80" s="7"/>
      <c r="I80" s="15"/>
      <c r="AS80" s="11"/>
      <c r="AT80" s="11"/>
      <c r="AU80" s="11"/>
      <c r="AV80" s="11"/>
      <c r="AW80" s="11"/>
      <c r="AX80" s="11"/>
      <c r="AY80" s="11"/>
      <c r="AZ80" s="11"/>
      <c r="BA80" s="11"/>
      <c r="BB80" s="11"/>
      <c r="BC80" s="11"/>
      <c r="BD80" s="11"/>
      <c r="BE80" s="11"/>
      <c r="BF80" s="11"/>
      <c r="BG80" s="11"/>
      <c r="BH80" s="11"/>
    </row>
    <row r="81" spans="1:60" s="8" customFormat="1" x14ac:dyDescent="0.2">
      <c r="B81" s="362" t="s">
        <v>72</v>
      </c>
      <c r="C81" s="362"/>
      <c r="D81" s="34"/>
      <c r="E81" s="135" t="s">
        <v>73</v>
      </c>
      <c r="F81" s="273">
        <v>30</v>
      </c>
      <c r="G81" s="7" t="s">
        <v>10</v>
      </c>
      <c r="H81" s="7" t="s">
        <v>13</v>
      </c>
      <c r="I81" s="34" t="s">
        <v>95</v>
      </c>
    </row>
    <row r="82" spans="1:60" s="8" customFormat="1" ht="3" customHeight="1" x14ac:dyDescent="0.2">
      <c r="B82" s="296"/>
      <c r="C82" s="296"/>
      <c r="D82" s="34"/>
      <c r="E82" s="296"/>
      <c r="F82" s="7"/>
      <c r="G82" s="7"/>
      <c r="H82" s="7"/>
      <c r="I82" s="34"/>
    </row>
    <row r="83" spans="1:60" s="8" customFormat="1" ht="40.5" x14ac:dyDescent="0.2">
      <c r="B83" s="22" t="s">
        <v>721</v>
      </c>
      <c r="C83" s="296"/>
      <c r="D83" s="34"/>
      <c r="E83" s="296" t="s">
        <v>75</v>
      </c>
      <c r="F83" s="273">
        <v>365</v>
      </c>
      <c r="G83" s="7" t="s">
        <v>10</v>
      </c>
      <c r="H83" s="7" t="s">
        <v>13</v>
      </c>
      <c r="I83" s="146" t="s">
        <v>966</v>
      </c>
    </row>
    <row r="84" spans="1:60" s="8" customFormat="1" ht="5.0999999999999996" customHeight="1" thickBot="1" x14ac:dyDescent="0.25">
      <c r="B84" s="362"/>
      <c r="C84" s="362"/>
      <c r="D84" s="34"/>
      <c r="E84" s="22"/>
      <c r="F84" s="7"/>
      <c r="G84" s="19"/>
      <c r="H84" s="7"/>
      <c r="I84" s="34"/>
    </row>
    <row r="85" spans="1:60" s="8" customFormat="1" ht="33" customHeight="1" thickTop="1" thickBot="1" x14ac:dyDescent="0.25">
      <c r="B85" s="30" t="s">
        <v>74</v>
      </c>
      <c r="C85" s="313" t="s">
        <v>466</v>
      </c>
      <c r="D85" s="34"/>
      <c r="E85" s="22" t="s">
        <v>676</v>
      </c>
      <c r="F85" s="23" t="str">
        <f>INDEX('Pick-lists &amp; Defaults'!C104:C109,MATCH(C85,application_method_process,0))</f>
        <v>??</v>
      </c>
      <c r="G85" s="19" t="s">
        <v>10</v>
      </c>
      <c r="H85" s="19" t="s">
        <v>20</v>
      </c>
      <c r="I85" s="146" t="s">
        <v>471</v>
      </c>
    </row>
    <row r="86" spans="1:60" s="8" customFormat="1" ht="5.0999999999999996" customHeight="1" thickTop="1" x14ac:dyDescent="0.2">
      <c r="B86" s="135"/>
      <c r="C86" s="135"/>
      <c r="D86" s="135"/>
      <c r="E86" s="30"/>
      <c r="F86" s="7"/>
      <c r="G86" s="19"/>
      <c r="H86" s="19"/>
      <c r="I86" s="7"/>
    </row>
    <row r="87" spans="1:60" s="8" customFormat="1" ht="30" customHeight="1" x14ac:dyDescent="0.2">
      <c r="B87" s="362" t="s">
        <v>193</v>
      </c>
      <c r="C87" s="362"/>
      <c r="D87" s="34"/>
      <c r="E87" s="135" t="s">
        <v>194</v>
      </c>
      <c r="F87" s="274"/>
      <c r="G87" s="19" t="s">
        <v>813</v>
      </c>
      <c r="H87" s="19" t="s">
        <v>6</v>
      </c>
      <c r="I87" s="34"/>
    </row>
    <row r="88" spans="1:60" s="8" customFormat="1" ht="5.0999999999999996" customHeight="1" x14ac:dyDescent="0.2">
      <c r="B88" s="362"/>
      <c r="C88" s="362"/>
      <c r="D88" s="34"/>
      <c r="E88" s="22"/>
      <c r="F88" s="273"/>
      <c r="G88" s="19"/>
      <c r="H88" s="19"/>
      <c r="I88" s="34"/>
    </row>
    <row r="89" spans="1:60" s="8" customFormat="1" ht="27.75" customHeight="1" x14ac:dyDescent="0.2">
      <c r="B89" s="362" t="s">
        <v>761</v>
      </c>
      <c r="C89" s="362"/>
      <c r="D89" s="34"/>
      <c r="E89" s="296" t="s">
        <v>196</v>
      </c>
      <c r="F89" s="274"/>
      <c r="G89" s="19" t="s">
        <v>813</v>
      </c>
      <c r="H89" s="19" t="s">
        <v>6</v>
      </c>
      <c r="I89" s="92"/>
    </row>
    <row r="90" spans="1:60" s="8" customFormat="1" ht="5.0999999999999996" customHeight="1" x14ac:dyDescent="0.2">
      <c r="B90" s="362"/>
      <c r="C90" s="362"/>
      <c r="D90" s="34"/>
      <c r="E90" s="22"/>
      <c r="F90" s="273"/>
      <c r="G90" s="19"/>
      <c r="H90" s="19"/>
      <c r="I90" s="34"/>
    </row>
    <row r="91" spans="1:60" s="8" customFormat="1" ht="27.75" customHeight="1" x14ac:dyDescent="0.2">
      <c r="B91" s="362" t="s">
        <v>195</v>
      </c>
      <c r="C91" s="362"/>
      <c r="D91" s="34"/>
      <c r="E91" s="135" t="s">
        <v>684</v>
      </c>
      <c r="F91" s="274"/>
      <c r="G91" s="19" t="s">
        <v>813</v>
      </c>
      <c r="H91" s="19" t="s">
        <v>6</v>
      </c>
      <c r="I91" s="92"/>
    </row>
    <row r="92" spans="1:60" ht="5.0999999999999996" customHeight="1" x14ac:dyDescent="0.2">
      <c r="A92" s="10"/>
      <c r="B92" s="135"/>
      <c r="C92" s="14"/>
      <c r="D92" s="14"/>
      <c r="E92" s="15"/>
      <c r="F92" s="275"/>
      <c r="G92" s="7"/>
      <c r="H92" s="7"/>
      <c r="I92" s="15"/>
      <c r="AS92" s="11"/>
      <c r="AT92" s="11"/>
      <c r="AU92" s="11"/>
      <c r="AV92" s="11"/>
      <c r="AW92" s="11"/>
      <c r="AX92" s="11"/>
      <c r="AY92" s="11"/>
      <c r="AZ92" s="11"/>
      <c r="BA92" s="11"/>
      <c r="BB92" s="11"/>
      <c r="BC92" s="11"/>
      <c r="BD92" s="11"/>
      <c r="BE92" s="11"/>
      <c r="BF92" s="11"/>
      <c r="BG92" s="11"/>
      <c r="BH92" s="11"/>
    </row>
    <row r="93" spans="1:60" s="8" customFormat="1" ht="14.25" x14ac:dyDescent="0.2">
      <c r="B93" s="135" t="s">
        <v>239</v>
      </c>
      <c r="C93" s="135"/>
      <c r="D93" s="34"/>
      <c r="E93" s="22" t="s">
        <v>178</v>
      </c>
      <c r="F93" s="280">
        <v>8000000</v>
      </c>
      <c r="G93" s="7" t="s">
        <v>326</v>
      </c>
      <c r="H93" s="7" t="s">
        <v>13</v>
      </c>
      <c r="I93" s="107"/>
    </row>
    <row r="94" spans="1:60" s="8" customFormat="1" x14ac:dyDescent="0.2">
      <c r="B94" s="135"/>
      <c r="C94" s="135"/>
      <c r="D94" s="34"/>
      <c r="E94" s="22"/>
      <c r="F94" s="7"/>
      <c r="G94" s="19"/>
      <c r="H94" s="7"/>
      <c r="I94" s="34"/>
    </row>
    <row r="95" spans="1:60" ht="15" x14ac:dyDescent="0.2">
      <c r="A95" s="10"/>
      <c r="B95" s="4" t="s">
        <v>1</v>
      </c>
      <c r="C95" s="4"/>
      <c r="D95" s="4"/>
      <c r="E95" s="4"/>
      <c r="F95" s="12"/>
      <c r="G95" s="12"/>
      <c r="H95" s="12"/>
      <c r="I95" s="12"/>
      <c r="AT95" s="11"/>
      <c r="AU95" s="11"/>
      <c r="AV95" s="11"/>
      <c r="AW95" s="11"/>
      <c r="AX95" s="11"/>
      <c r="AY95" s="11"/>
      <c r="AZ95" s="11"/>
      <c r="BA95" s="11"/>
      <c r="BB95" s="11"/>
      <c r="BC95" s="11"/>
      <c r="BD95" s="11"/>
      <c r="BE95" s="11"/>
      <c r="BF95" s="11"/>
      <c r="BG95" s="11"/>
      <c r="BH95" s="11"/>
    </row>
    <row r="96" spans="1:60" x14ac:dyDescent="0.2">
      <c r="A96" s="10"/>
      <c r="B96" s="6"/>
      <c r="C96" s="6"/>
      <c r="D96" s="6"/>
      <c r="E96" s="6"/>
      <c r="F96" s="6"/>
      <c r="G96" s="6"/>
      <c r="H96" s="6"/>
      <c r="I96" s="6"/>
      <c r="AT96" s="11"/>
      <c r="AU96" s="11"/>
      <c r="AV96" s="11"/>
      <c r="AW96" s="11"/>
      <c r="AX96" s="11"/>
      <c r="AY96" s="11"/>
      <c r="AZ96" s="11"/>
      <c r="BA96" s="11"/>
      <c r="BB96" s="11"/>
      <c r="BC96" s="11"/>
      <c r="BD96" s="11"/>
      <c r="BE96" s="11"/>
      <c r="BF96" s="11"/>
      <c r="BG96" s="11"/>
      <c r="BH96" s="11"/>
    </row>
    <row r="97" spans="1:60" ht="15" x14ac:dyDescent="0.2">
      <c r="A97" s="10"/>
      <c r="B97" s="14" t="s">
        <v>2</v>
      </c>
      <c r="C97" s="14"/>
      <c r="D97" s="14"/>
      <c r="E97" s="15" t="s">
        <v>4</v>
      </c>
      <c r="F97" s="16" t="s">
        <v>7</v>
      </c>
      <c r="G97" s="16" t="s">
        <v>3</v>
      </c>
      <c r="H97" s="16" t="s">
        <v>11</v>
      </c>
      <c r="I97" s="15" t="s">
        <v>34</v>
      </c>
      <c r="AT97" s="11"/>
      <c r="AU97" s="11"/>
      <c r="AV97" s="11"/>
      <c r="AW97" s="11"/>
      <c r="AX97" s="11"/>
      <c r="AY97" s="11"/>
      <c r="AZ97" s="11"/>
      <c r="BA97" s="11"/>
      <c r="BB97" s="11"/>
      <c r="BC97" s="11"/>
      <c r="BD97" s="11"/>
      <c r="BE97" s="11"/>
      <c r="BF97" s="11"/>
      <c r="BG97" s="11"/>
      <c r="BH97" s="11"/>
    </row>
    <row r="98" spans="1:60" x14ac:dyDescent="0.2">
      <c r="A98" s="10"/>
      <c r="B98" s="14"/>
      <c r="C98" s="14"/>
      <c r="D98" s="14"/>
      <c r="E98" s="15"/>
      <c r="F98" s="16"/>
      <c r="G98" s="16"/>
      <c r="H98" s="16"/>
      <c r="I98" s="15"/>
      <c r="AT98" s="11"/>
      <c r="AU98" s="11"/>
      <c r="AV98" s="11"/>
      <c r="AW98" s="11"/>
      <c r="AX98" s="11"/>
      <c r="AY98" s="11"/>
      <c r="AZ98" s="11"/>
      <c r="BA98" s="11"/>
      <c r="BB98" s="11"/>
      <c r="BC98" s="11"/>
      <c r="BD98" s="11"/>
      <c r="BE98" s="11"/>
      <c r="BF98" s="11"/>
      <c r="BG98" s="11"/>
      <c r="BH98" s="11"/>
    </row>
    <row r="99" spans="1:60" s="8" customFormat="1" ht="27.75" customHeight="1" x14ac:dyDescent="0.2">
      <c r="A99" s="10"/>
      <c r="B99" s="362" t="s">
        <v>438</v>
      </c>
      <c r="C99" s="362"/>
      <c r="D99" s="362"/>
      <c r="E99" s="30" t="s">
        <v>202</v>
      </c>
      <c r="F99" s="228" t="str">
        <f>IF(ISNUMBER(Q_leach_TIME1_deck_fence),AREAdeck_fence*Nhouse*Q_leach_TIME1_deck_fence,"??")</f>
        <v>??</v>
      </c>
      <c r="G99" s="19" t="s">
        <v>794</v>
      </c>
      <c r="H99" s="19" t="s">
        <v>8</v>
      </c>
      <c r="I99" s="308" t="s">
        <v>881</v>
      </c>
    </row>
    <row r="100" spans="1:60" s="8" customFormat="1" ht="5.0999999999999996" customHeight="1" x14ac:dyDescent="0.2">
      <c r="A100" s="10"/>
      <c r="B100" s="296"/>
      <c r="C100" s="296"/>
      <c r="D100" s="296"/>
      <c r="E100" s="30"/>
      <c r="F100" s="30"/>
      <c r="G100" s="19"/>
      <c r="H100" s="19"/>
      <c r="I100" s="41"/>
    </row>
    <row r="101" spans="1:60" s="8" customFormat="1" ht="22.5" customHeight="1" x14ac:dyDescent="0.2">
      <c r="A101" s="10"/>
      <c r="B101" s="362" t="s">
        <v>777</v>
      </c>
      <c r="C101" s="362"/>
      <c r="D101" s="362"/>
      <c r="E101" s="30" t="s">
        <v>203</v>
      </c>
      <c r="F101" s="228" t="str">
        <f>IF(ISNUMBER(Q_leach_TIME2_deck_fence),AREAdeck_fence*Nhouse*Q_leach_TIME2_deck_fence,"??")</f>
        <v>??</v>
      </c>
      <c r="G101" s="19" t="s">
        <v>794</v>
      </c>
      <c r="H101" s="19" t="s">
        <v>8</v>
      </c>
      <c r="I101" s="308" t="s">
        <v>882</v>
      </c>
    </row>
    <row r="102" spans="1:60" s="8" customFormat="1" ht="5.0999999999999996" customHeight="1" x14ac:dyDescent="0.2">
      <c r="A102" s="10"/>
      <c r="B102" s="135"/>
      <c r="C102" s="135"/>
      <c r="D102" s="135"/>
      <c r="E102" s="30"/>
      <c r="F102" s="30"/>
      <c r="G102" s="19"/>
      <c r="H102" s="19"/>
      <c r="I102" s="41"/>
    </row>
    <row r="103" spans="1:60" s="8" customFormat="1" ht="22.5" customHeight="1" x14ac:dyDescent="0.2">
      <c r="A103" s="10"/>
      <c r="B103" s="362" t="s">
        <v>439</v>
      </c>
      <c r="C103" s="362"/>
      <c r="D103" s="362"/>
      <c r="E103" s="30" t="s">
        <v>678</v>
      </c>
      <c r="F103" s="228" t="str">
        <f>IF(ISNUMBER(Q_leach_TIME3_deck_fence),AREAdeck_fence*Nhouse*Q_leach_TIME3_deck_fence,"??")</f>
        <v>??</v>
      </c>
      <c r="G103" s="19" t="s">
        <v>794</v>
      </c>
      <c r="H103" s="19" t="s">
        <v>8</v>
      </c>
      <c r="I103" s="308" t="s">
        <v>883</v>
      </c>
    </row>
    <row r="104" spans="1:60" s="8" customFormat="1" ht="5.0999999999999996" customHeight="1" x14ac:dyDescent="0.2">
      <c r="A104" s="10"/>
      <c r="B104" s="135"/>
      <c r="C104" s="135"/>
      <c r="D104" s="135"/>
      <c r="E104" s="30"/>
      <c r="F104" s="30"/>
      <c r="G104" s="19"/>
      <c r="H104" s="19"/>
      <c r="I104" s="41"/>
    </row>
    <row r="105" spans="1:60" s="8" customFormat="1" ht="30" customHeight="1" x14ac:dyDescent="0.2">
      <c r="A105" s="10"/>
      <c r="B105" s="362" t="s">
        <v>240</v>
      </c>
      <c r="C105" s="362"/>
      <c r="D105" s="362"/>
      <c r="E105" s="30" t="s">
        <v>433</v>
      </c>
      <c r="F105" s="228" t="str">
        <f>IF(ISNUMBER(Qleach_TIME1_deck_fence),Qleach_TIME1_deck_fence/Vwater_deck_fence,"??")</f>
        <v>??</v>
      </c>
      <c r="G105" s="19" t="s">
        <v>810</v>
      </c>
      <c r="H105" s="19" t="s">
        <v>8</v>
      </c>
      <c r="I105" s="41" t="s">
        <v>878</v>
      </c>
    </row>
    <row r="106" spans="1:60" s="8" customFormat="1" ht="5.0999999999999996" customHeight="1" x14ac:dyDescent="0.2">
      <c r="A106" s="10"/>
      <c r="B106" s="296"/>
      <c r="C106" s="296"/>
      <c r="D106" s="296"/>
      <c r="E106" s="30"/>
      <c r="F106" s="30"/>
      <c r="G106" s="19"/>
      <c r="H106" s="19"/>
      <c r="I106" s="41"/>
    </row>
    <row r="107" spans="1:60" s="8" customFormat="1" ht="30" customHeight="1" x14ac:dyDescent="0.2">
      <c r="A107" s="10"/>
      <c r="B107" s="362" t="s">
        <v>764</v>
      </c>
      <c r="C107" s="362"/>
      <c r="D107" s="362"/>
      <c r="E107" s="30" t="s">
        <v>434</v>
      </c>
      <c r="F107" s="228" t="str">
        <f>IF(ISNUMBER(Qleach_TIME2_deck_fence),Qleach_TIME2_deck_fence/Vwater_deck_fence,"??")</f>
        <v>??</v>
      </c>
      <c r="G107" s="19" t="s">
        <v>810</v>
      </c>
      <c r="H107" s="19" t="s">
        <v>8</v>
      </c>
      <c r="I107" s="41" t="s">
        <v>879</v>
      </c>
    </row>
    <row r="108" spans="1:60" s="8" customFormat="1" ht="5.0999999999999996" customHeight="1" x14ac:dyDescent="0.2">
      <c r="A108" s="10"/>
      <c r="B108" s="135"/>
      <c r="C108" s="135"/>
      <c r="D108" s="135"/>
      <c r="E108" s="30"/>
      <c r="F108" s="30"/>
      <c r="G108" s="19"/>
      <c r="H108" s="19"/>
      <c r="I108" s="41"/>
    </row>
    <row r="109" spans="1:60" s="8" customFormat="1" ht="30" customHeight="1" x14ac:dyDescent="0.2">
      <c r="A109" s="10"/>
      <c r="B109" s="362" t="s">
        <v>241</v>
      </c>
      <c r="C109" s="362"/>
      <c r="D109" s="362"/>
      <c r="E109" s="30" t="s">
        <v>778</v>
      </c>
      <c r="F109" s="228" t="str">
        <f>IF(ISNUMBER(Qleach_TIME3_deck_fence),Qleach_TIME3_deck_fence/Vwater_deck_fence,"??")</f>
        <v>??</v>
      </c>
      <c r="G109" s="19" t="s">
        <v>810</v>
      </c>
      <c r="H109" s="19" t="s">
        <v>8</v>
      </c>
      <c r="I109" s="41" t="s">
        <v>884</v>
      </c>
    </row>
    <row r="110" spans="1:60" s="8" customFormat="1" x14ac:dyDescent="0.2">
      <c r="A110" s="10"/>
      <c r="B110" s="135"/>
      <c r="C110" s="135"/>
      <c r="D110" s="135"/>
      <c r="E110" s="30"/>
      <c r="F110" s="16"/>
      <c r="G110" s="7"/>
      <c r="H110" s="7"/>
      <c r="I110" s="20"/>
    </row>
    <row r="111" spans="1:60" s="8" customFormat="1" x14ac:dyDescent="0.2">
      <c r="B111" s="86" t="s">
        <v>12</v>
      </c>
      <c r="G111" s="74"/>
      <c r="H111" s="74"/>
      <c r="I111" s="85"/>
    </row>
    <row r="112" spans="1:60" s="73" customFormat="1" x14ac:dyDescent="0.2">
      <c r="C112" s="115"/>
      <c r="G112" s="94"/>
      <c r="I112" s="94"/>
    </row>
    <row r="113" spans="1:61" ht="15" x14ac:dyDescent="0.2">
      <c r="A113" s="10"/>
      <c r="B113" s="307" t="s">
        <v>818</v>
      </c>
      <c r="C113" s="18"/>
      <c r="D113" s="31"/>
      <c r="E113" s="31"/>
      <c r="F113" s="31"/>
      <c r="G113" s="31"/>
      <c r="H113" s="31"/>
      <c r="I113" s="31"/>
      <c r="J113" s="10"/>
      <c r="K113" s="10"/>
      <c r="L113" s="10"/>
      <c r="M113" s="10"/>
      <c r="BI113" s="8"/>
    </row>
    <row r="114" spans="1:61" s="10" customFormat="1" x14ac:dyDescent="0.2">
      <c r="E114" s="61"/>
    </row>
    <row r="115" spans="1:61" s="10" customFormat="1" x14ac:dyDescent="0.2">
      <c r="E115" s="61"/>
    </row>
    <row r="116" spans="1:61" s="10" customFormat="1" x14ac:dyDescent="0.2">
      <c r="E116" s="61"/>
    </row>
    <row r="117" spans="1:61" s="8" customFormat="1" x14ac:dyDescent="0.2">
      <c r="E117" s="85"/>
    </row>
    <row r="118" spans="1:61" s="8" customFormat="1" x14ac:dyDescent="0.2">
      <c r="E118" s="85"/>
    </row>
    <row r="119" spans="1:61" s="8" customFormat="1" x14ac:dyDescent="0.2">
      <c r="E119" s="85"/>
    </row>
    <row r="120" spans="1:61" s="8" customFormat="1" x14ac:dyDescent="0.2">
      <c r="E120" s="85"/>
    </row>
    <row r="121" spans="1:61" s="8" customFormat="1" x14ac:dyDescent="0.2">
      <c r="E121" s="85"/>
    </row>
    <row r="122" spans="1:61" s="8" customFormat="1" x14ac:dyDescent="0.2">
      <c r="E122" s="85"/>
    </row>
    <row r="123" spans="1:61" s="8" customFormat="1" x14ac:dyDescent="0.2">
      <c r="E123" s="85"/>
    </row>
    <row r="124" spans="1:61" s="8" customFormat="1" x14ac:dyDescent="0.2">
      <c r="E124" s="85"/>
    </row>
    <row r="125" spans="1:61" s="8" customFormat="1" x14ac:dyDescent="0.2">
      <c r="E125" s="85"/>
    </row>
    <row r="126" spans="1:61" s="8" customFormat="1" x14ac:dyDescent="0.2">
      <c r="E126" s="85"/>
    </row>
    <row r="127" spans="1:61" s="8" customFormat="1" x14ac:dyDescent="0.2">
      <c r="E127" s="85"/>
    </row>
    <row r="128" spans="1:61" s="8" customFormat="1" x14ac:dyDescent="0.2">
      <c r="E128" s="85"/>
    </row>
    <row r="129" spans="5:5" s="8" customFormat="1" x14ac:dyDescent="0.2">
      <c r="E129" s="85"/>
    </row>
    <row r="130" spans="5:5" s="8" customFormat="1" x14ac:dyDescent="0.2">
      <c r="E130" s="85"/>
    </row>
    <row r="131" spans="5:5" s="8" customFormat="1" x14ac:dyDescent="0.2">
      <c r="E131" s="85"/>
    </row>
    <row r="132" spans="5:5" s="8" customFormat="1" x14ac:dyDescent="0.2">
      <c r="E132" s="85"/>
    </row>
    <row r="133" spans="5:5" s="8" customFormat="1" x14ac:dyDescent="0.2">
      <c r="E133" s="85"/>
    </row>
    <row r="134" spans="5:5" s="8" customFormat="1" x14ac:dyDescent="0.2">
      <c r="E134" s="85"/>
    </row>
    <row r="135" spans="5:5" s="8" customFormat="1" x14ac:dyDescent="0.2">
      <c r="E135" s="85"/>
    </row>
    <row r="136" spans="5:5" s="8" customFormat="1" x14ac:dyDescent="0.2">
      <c r="E136" s="85"/>
    </row>
    <row r="137" spans="5:5" s="8" customFormat="1" x14ac:dyDescent="0.2">
      <c r="E137" s="85"/>
    </row>
    <row r="138" spans="5:5" s="8" customFormat="1" x14ac:dyDescent="0.2">
      <c r="E138" s="85"/>
    </row>
    <row r="139" spans="5:5" s="8" customFormat="1" x14ac:dyDescent="0.2">
      <c r="E139" s="85"/>
    </row>
    <row r="140" spans="5:5" s="8" customFormat="1" x14ac:dyDescent="0.2">
      <c r="E140" s="85"/>
    </row>
    <row r="141" spans="5:5" s="8" customFormat="1" x14ac:dyDescent="0.2">
      <c r="E141" s="85"/>
    </row>
    <row r="142" spans="5:5" s="8" customFormat="1" x14ac:dyDescent="0.2">
      <c r="E142" s="85"/>
    </row>
    <row r="143" spans="5:5" s="8" customFormat="1" x14ac:dyDescent="0.2">
      <c r="E143" s="85"/>
    </row>
    <row r="144" spans="5:5" s="8" customFormat="1" x14ac:dyDescent="0.2">
      <c r="E144" s="85"/>
    </row>
    <row r="145" spans="5:5" s="8" customFormat="1" x14ac:dyDescent="0.2">
      <c r="E145" s="85"/>
    </row>
    <row r="146" spans="5:5" s="8" customFormat="1" x14ac:dyDescent="0.2">
      <c r="E146" s="85"/>
    </row>
    <row r="147" spans="5:5" s="8" customFormat="1" x14ac:dyDescent="0.2">
      <c r="E147" s="85"/>
    </row>
    <row r="148" spans="5:5" s="8" customFormat="1" x14ac:dyDescent="0.2">
      <c r="E148" s="85"/>
    </row>
    <row r="149" spans="5:5" s="8" customFormat="1" x14ac:dyDescent="0.2">
      <c r="E149" s="85"/>
    </row>
    <row r="150" spans="5:5" s="8" customFormat="1" x14ac:dyDescent="0.2">
      <c r="E150" s="85"/>
    </row>
    <row r="151" spans="5:5" s="8" customFormat="1" x14ac:dyDescent="0.2">
      <c r="E151" s="85"/>
    </row>
    <row r="152" spans="5:5" s="8" customFormat="1" x14ac:dyDescent="0.2">
      <c r="E152" s="85"/>
    </row>
    <row r="153" spans="5:5" s="8" customFormat="1" x14ac:dyDescent="0.2">
      <c r="E153" s="85"/>
    </row>
    <row r="154" spans="5:5" s="8" customFormat="1" x14ac:dyDescent="0.2">
      <c r="E154" s="85"/>
    </row>
    <row r="155" spans="5:5" s="8" customFormat="1" x14ac:dyDescent="0.2">
      <c r="E155" s="85"/>
    </row>
    <row r="156" spans="5:5" s="8" customFormat="1" x14ac:dyDescent="0.2">
      <c r="E156" s="85"/>
    </row>
    <row r="157" spans="5:5" s="8" customFormat="1" x14ac:dyDescent="0.2">
      <c r="E157" s="85"/>
    </row>
    <row r="158" spans="5:5" s="8" customFormat="1" x14ac:dyDescent="0.2">
      <c r="E158" s="85"/>
    </row>
    <row r="159" spans="5:5" s="8" customFormat="1" x14ac:dyDescent="0.2">
      <c r="E159" s="85"/>
    </row>
    <row r="160" spans="5:5" s="8" customFormat="1" x14ac:dyDescent="0.2">
      <c r="E160" s="85"/>
    </row>
    <row r="161" spans="5:5" s="8" customFormat="1" x14ac:dyDescent="0.2">
      <c r="E161" s="85"/>
    </row>
    <row r="162" spans="5:5" s="8" customFormat="1" x14ac:dyDescent="0.2">
      <c r="E162" s="85"/>
    </row>
    <row r="163" spans="5:5" s="8" customFormat="1" x14ac:dyDescent="0.2">
      <c r="E163" s="85"/>
    </row>
    <row r="164" spans="5:5" s="8" customFormat="1" x14ac:dyDescent="0.2">
      <c r="E164" s="85"/>
    </row>
    <row r="165" spans="5:5" s="8" customFormat="1" x14ac:dyDescent="0.2">
      <c r="E165" s="85"/>
    </row>
    <row r="166" spans="5:5" s="8" customFormat="1" x14ac:dyDescent="0.2">
      <c r="E166" s="85"/>
    </row>
    <row r="167" spans="5:5" s="8" customFormat="1" x14ac:dyDescent="0.2">
      <c r="E167" s="85"/>
    </row>
    <row r="168" spans="5:5" s="8" customFormat="1" x14ac:dyDescent="0.2">
      <c r="E168" s="85"/>
    </row>
    <row r="169" spans="5:5" s="8" customFormat="1" x14ac:dyDescent="0.2">
      <c r="E169" s="85"/>
    </row>
    <row r="170" spans="5:5" s="8" customFormat="1" x14ac:dyDescent="0.2">
      <c r="E170" s="85"/>
    </row>
    <row r="171" spans="5:5" s="8" customFormat="1" x14ac:dyDescent="0.2">
      <c r="E171" s="85"/>
    </row>
    <row r="172" spans="5:5" s="8" customFormat="1" x14ac:dyDescent="0.2">
      <c r="E172" s="85"/>
    </row>
    <row r="173" spans="5:5" s="8" customFormat="1" x14ac:dyDescent="0.2">
      <c r="E173" s="85"/>
    </row>
    <row r="174" spans="5:5" s="8" customFormat="1" x14ac:dyDescent="0.2">
      <c r="E174" s="85"/>
    </row>
    <row r="175" spans="5:5" s="8" customFormat="1" x14ac:dyDescent="0.2">
      <c r="E175" s="85"/>
    </row>
    <row r="176" spans="5:5" s="8" customFormat="1" x14ac:dyDescent="0.2">
      <c r="E176" s="85"/>
    </row>
    <row r="177" spans="5:5" s="8" customFormat="1" x14ac:dyDescent="0.2">
      <c r="E177" s="85"/>
    </row>
    <row r="178" spans="5:5" s="8" customFormat="1" x14ac:dyDescent="0.2">
      <c r="E178" s="85"/>
    </row>
    <row r="179" spans="5:5" s="8" customFormat="1" x14ac:dyDescent="0.2">
      <c r="E179" s="85"/>
    </row>
    <row r="180" spans="5:5" s="8" customFormat="1" x14ac:dyDescent="0.2">
      <c r="E180" s="85"/>
    </row>
    <row r="181" spans="5:5" s="8" customFormat="1" x14ac:dyDescent="0.2">
      <c r="E181" s="85"/>
    </row>
    <row r="182" spans="5:5" s="8" customFormat="1" x14ac:dyDescent="0.2">
      <c r="E182" s="85"/>
    </row>
    <row r="183" spans="5:5" s="8" customFormat="1" x14ac:dyDescent="0.2">
      <c r="E183" s="85"/>
    </row>
    <row r="184" spans="5:5" s="8" customFormat="1" x14ac:dyDescent="0.2">
      <c r="E184" s="85"/>
    </row>
    <row r="185" spans="5:5" s="8" customFormat="1" x14ac:dyDescent="0.2">
      <c r="E185" s="85"/>
    </row>
    <row r="186" spans="5:5" s="8" customFormat="1" x14ac:dyDescent="0.2">
      <c r="E186" s="85"/>
    </row>
    <row r="187" spans="5:5" s="8" customFormat="1" x14ac:dyDescent="0.2">
      <c r="E187" s="85"/>
    </row>
    <row r="188" spans="5:5" s="8" customFormat="1" x14ac:dyDescent="0.2">
      <c r="E188" s="85"/>
    </row>
    <row r="189" spans="5:5" s="8" customFormat="1" x14ac:dyDescent="0.2">
      <c r="E189" s="85"/>
    </row>
    <row r="190" spans="5:5" s="8" customFormat="1" x14ac:dyDescent="0.2">
      <c r="E190" s="85"/>
    </row>
    <row r="191" spans="5:5" s="8" customFormat="1" x14ac:dyDescent="0.2">
      <c r="E191" s="85"/>
    </row>
    <row r="192" spans="5:5" s="8" customFormat="1" x14ac:dyDescent="0.2">
      <c r="E192" s="85"/>
    </row>
    <row r="193" spans="5:5" s="8" customFormat="1" x14ac:dyDescent="0.2">
      <c r="E193" s="85"/>
    </row>
    <row r="194" spans="5:5" s="8" customFormat="1" x14ac:dyDescent="0.2">
      <c r="E194" s="85"/>
    </row>
    <row r="195" spans="5:5" s="8" customFormat="1" x14ac:dyDescent="0.2">
      <c r="E195" s="85"/>
    </row>
    <row r="196" spans="5:5" s="8" customFormat="1" x14ac:dyDescent="0.2">
      <c r="E196" s="85"/>
    </row>
    <row r="197" spans="5:5" s="8" customFormat="1" x14ac:dyDescent="0.2">
      <c r="E197" s="85"/>
    </row>
    <row r="198" spans="5:5" s="8" customFormat="1" x14ac:dyDescent="0.2">
      <c r="E198" s="85"/>
    </row>
    <row r="199" spans="5:5" s="8" customFormat="1" x14ac:dyDescent="0.2">
      <c r="E199" s="85"/>
    </row>
    <row r="200" spans="5:5" s="8" customFormat="1" x14ac:dyDescent="0.2">
      <c r="E200" s="85"/>
    </row>
    <row r="201" spans="5:5" s="8" customFormat="1" x14ac:dyDescent="0.2">
      <c r="E201" s="85"/>
    </row>
    <row r="202" spans="5:5" s="8" customFormat="1" x14ac:dyDescent="0.2">
      <c r="E202" s="85"/>
    </row>
    <row r="203" spans="5:5" s="8" customFormat="1" x14ac:dyDescent="0.2">
      <c r="E203" s="85"/>
    </row>
    <row r="204" spans="5:5" s="8" customFormat="1" x14ac:dyDescent="0.2">
      <c r="E204" s="85"/>
    </row>
    <row r="205" spans="5:5" s="8" customFormat="1" x14ac:dyDescent="0.2">
      <c r="E205" s="85"/>
    </row>
    <row r="206" spans="5:5" s="8" customFormat="1" x14ac:dyDescent="0.2">
      <c r="E206" s="85"/>
    </row>
    <row r="207" spans="5:5" s="8" customFormat="1" x14ac:dyDescent="0.2">
      <c r="E207" s="85"/>
    </row>
    <row r="208" spans="5:5" s="8" customFormat="1" x14ac:dyDescent="0.2">
      <c r="E208" s="85"/>
    </row>
    <row r="209" spans="5:5" s="8" customFormat="1" x14ac:dyDescent="0.2">
      <c r="E209" s="85"/>
    </row>
    <row r="210" spans="5:5" s="8" customFormat="1" x14ac:dyDescent="0.2">
      <c r="E210" s="85"/>
    </row>
    <row r="211" spans="5:5" s="8" customFormat="1" x14ac:dyDescent="0.2">
      <c r="E211" s="85"/>
    </row>
    <row r="212" spans="5:5" s="8" customFormat="1" x14ac:dyDescent="0.2">
      <c r="E212" s="85"/>
    </row>
    <row r="213" spans="5:5" s="8" customFormat="1" x14ac:dyDescent="0.2">
      <c r="E213" s="85"/>
    </row>
    <row r="214" spans="5:5" s="8" customFormat="1" x14ac:dyDescent="0.2">
      <c r="E214" s="85"/>
    </row>
    <row r="215" spans="5:5" s="8" customFormat="1" x14ac:dyDescent="0.2">
      <c r="E215" s="85"/>
    </row>
    <row r="216" spans="5:5" s="8" customFormat="1" x14ac:dyDescent="0.2">
      <c r="E216" s="85"/>
    </row>
    <row r="217" spans="5:5" s="8" customFormat="1" x14ac:dyDescent="0.2">
      <c r="E217" s="85"/>
    </row>
    <row r="218" spans="5:5" s="8" customFormat="1" x14ac:dyDescent="0.2">
      <c r="E218" s="85"/>
    </row>
    <row r="219" spans="5:5" s="8" customFormat="1" x14ac:dyDescent="0.2">
      <c r="E219" s="85"/>
    </row>
    <row r="220" spans="5:5" s="8" customFormat="1" x14ac:dyDescent="0.2">
      <c r="E220" s="85"/>
    </row>
    <row r="221" spans="5:5" s="8" customFormat="1" x14ac:dyDescent="0.2">
      <c r="E221" s="85"/>
    </row>
    <row r="222" spans="5:5" s="8" customFormat="1" x14ac:dyDescent="0.2">
      <c r="E222" s="85"/>
    </row>
    <row r="223" spans="5:5" s="8" customFormat="1" x14ac:dyDescent="0.2">
      <c r="E223" s="85"/>
    </row>
    <row r="224" spans="5:5" s="8" customFormat="1" x14ac:dyDescent="0.2">
      <c r="E224" s="85"/>
    </row>
    <row r="225" spans="5:5" s="8" customFormat="1" x14ac:dyDescent="0.2">
      <c r="E225" s="85"/>
    </row>
    <row r="226" spans="5:5" s="8" customFormat="1" x14ac:dyDescent="0.2">
      <c r="E226" s="85"/>
    </row>
    <row r="227" spans="5:5" s="8" customFormat="1" x14ac:dyDescent="0.2">
      <c r="E227" s="85"/>
    </row>
    <row r="228" spans="5:5" s="8" customFormat="1" x14ac:dyDescent="0.2">
      <c r="E228" s="85"/>
    </row>
    <row r="229" spans="5:5" s="8" customFormat="1" x14ac:dyDescent="0.2">
      <c r="E229" s="85"/>
    </row>
    <row r="230" spans="5:5" s="8" customFormat="1" x14ac:dyDescent="0.2">
      <c r="E230" s="85"/>
    </row>
    <row r="231" spans="5:5" s="8" customFormat="1" x14ac:dyDescent="0.2">
      <c r="E231" s="85"/>
    </row>
    <row r="232" spans="5:5" s="8" customFormat="1" x14ac:dyDescent="0.2">
      <c r="E232" s="85"/>
    </row>
    <row r="233" spans="5:5" s="8" customFormat="1" x14ac:dyDescent="0.2">
      <c r="E233" s="85"/>
    </row>
    <row r="234" spans="5:5" s="8" customFormat="1" x14ac:dyDescent="0.2">
      <c r="E234" s="85"/>
    </row>
    <row r="235" spans="5:5" s="8" customFormat="1" x14ac:dyDescent="0.2">
      <c r="E235" s="85"/>
    </row>
    <row r="236" spans="5:5" s="8" customFormat="1" x14ac:dyDescent="0.2">
      <c r="E236" s="85"/>
    </row>
    <row r="237" spans="5:5" s="8" customFormat="1" x14ac:dyDescent="0.2">
      <c r="E237" s="85"/>
    </row>
    <row r="238" spans="5:5" s="8" customFormat="1" x14ac:dyDescent="0.2">
      <c r="E238" s="85"/>
    </row>
    <row r="239" spans="5:5" s="8" customFormat="1" x14ac:dyDescent="0.2">
      <c r="E239" s="85"/>
    </row>
    <row r="240" spans="5:5" s="8" customFormat="1" x14ac:dyDescent="0.2">
      <c r="E240" s="85"/>
    </row>
    <row r="241" spans="5:5" s="8" customFormat="1" x14ac:dyDescent="0.2">
      <c r="E241" s="85"/>
    </row>
    <row r="242" spans="5:5" s="8" customFormat="1" x14ac:dyDescent="0.2">
      <c r="E242" s="85"/>
    </row>
    <row r="243" spans="5:5" s="8" customFormat="1" x14ac:dyDescent="0.2">
      <c r="E243" s="85"/>
    </row>
    <row r="244" spans="5:5" s="8" customFormat="1" x14ac:dyDescent="0.2">
      <c r="E244" s="85"/>
    </row>
    <row r="245" spans="5:5" s="8" customFormat="1" x14ac:dyDescent="0.2">
      <c r="E245" s="85"/>
    </row>
    <row r="246" spans="5:5" s="8" customFormat="1" x14ac:dyDescent="0.2">
      <c r="E246" s="85"/>
    </row>
    <row r="247" spans="5:5" s="8" customFormat="1" x14ac:dyDescent="0.2">
      <c r="E247" s="85"/>
    </row>
    <row r="248" spans="5:5" s="8" customFormat="1" x14ac:dyDescent="0.2">
      <c r="E248" s="85"/>
    </row>
    <row r="249" spans="5:5" s="8" customFormat="1" x14ac:dyDescent="0.2">
      <c r="E249" s="85"/>
    </row>
    <row r="250" spans="5:5" s="8" customFormat="1" x14ac:dyDescent="0.2">
      <c r="E250" s="85"/>
    </row>
    <row r="251" spans="5:5" s="8" customFormat="1" x14ac:dyDescent="0.2">
      <c r="E251" s="85"/>
    </row>
    <row r="252" spans="5:5" s="8" customFormat="1" x14ac:dyDescent="0.2">
      <c r="E252" s="85"/>
    </row>
    <row r="253" spans="5:5" s="8" customFormat="1" x14ac:dyDescent="0.2">
      <c r="E253" s="85"/>
    </row>
    <row r="254" spans="5:5" s="8" customFormat="1" x14ac:dyDescent="0.2">
      <c r="E254" s="85"/>
    </row>
    <row r="255" spans="5:5" s="8" customFormat="1" x14ac:dyDescent="0.2">
      <c r="E255" s="85"/>
    </row>
    <row r="256" spans="5:5" s="8" customFormat="1" x14ac:dyDescent="0.2">
      <c r="E256" s="85"/>
    </row>
    <row r="257" spans="5:5" s="8" customFormat="1" x14ac:dyDescent="0.2">
      <c r="E257" s="85"/>
    </row>
    <row r="258" spans="5:5" s="8" customFormat="1" x14ac:dyDescent="0.2">
      <c r="E258" s="85"/>
    </row>
    <row r="259" spans="5:5" s="8" customFormat="1" x14ac:dyDescent="0.2">
      <c r="E259" s="85"/>
    </row>
    <row r="260" spans="5:5" s="8" customFormat="1" x14ac:dyDescent="0.2">
      <c r="E260" s="85"/>
    </row>
    <row r="261" spans="5:5" s="8" customFormat="1" x14ac:dyDescent="0.2">
      <c r="E261" s="85"/>
    </row>
    <row r="262" spans="5:5" s="8" customFormat="1" x14ac:dyDescent="0.2">
      <c r="E262" s="85"/>
    </row>
    <row r="263" spans="5:5" s="8" customFormat="1" x14ac:dyDescent="0.2">
      <c r="E263" s="85"/>
    </row>
    <row r="264" spans="5:5" s="8" customFormat="1" x14ac:dyDescent="0.2">
      <c r="E264" s="85"/>
    </row>
    <row r="265" spans="5:5" s="8" customFormat="1" x14ac:dyDescent="0.2">
      <c r="E265" s="85"/>
    </row>
    <row r="266" spans="5:5" s="8" customFormat="1" x14ac:dyDescent="0.2">
      <c r="E266" s="85"/>
    </row>
    <row r="267" spans="5:5" s="8" customFormat="1" x14ac:dyDescent="0.2">
      <c r="E267" s="85"/>
    </row>
    <row r="268" spans="5:5" s="8" customFormat="1" x14ac:dyDescent="0.2">
      <c r="E268" s="85"/>
    </row>
    <row r="269" spans="5:5" s="8" customFormat="1" x14ac:dyDescent="0.2">
      <c r="E269" s="85"/>
    </row>
    <row r="270" spans="5:5" s="8" customFormat="1" x14ac:dyDescent="0.2">
      <c r="E270" s="85"/>
    </row>
    <row r="271" spans="5:5" s="8" customFormat="1" x14ac:dyDescent="0.2">
      <c r="E271" s="85"/>
    </row>
    <row r="272" spans="5:5" s="8" customFormat="1" x14ac:dyDescent="0.2">
      <c r="E272" s="85"/>
    </row>
    <row r="273" spans="5:5" s="8" customFormat="1" x14ac:dyDescent="0.2">
      <c r="E273" s="85"/>
    </row>
    <row r="274" spans="5:5" s="8" customFormat="1" x14ac:dyDescent="0.2">
      <c r="E274" s="85"/>
    </row>
    <row r="275" spans="5:5" s="8" customFormat="1" x14ac:dyDescent="0.2">
      <c r="E275" s="85"/>
    </row>
    <row r="276" spans="5:5" s="8" customFormat="1" x14ac:dyDescent="0.2">
      <c r="E276" s="85"/>
    </row>
    <row r="277" spans="5:5" s="8" customFormat="1" x14ac:dyDescent="0.2">
      <c r="E277" s="85"/>
    </row>
    <row r="278" spans="5:5" s="8" customFormat="1" x14ac:dyDescent="0.2">
      <c r="E278" s="85"/>
    </row>
    <row r="279" spans="5:5" s="8" customFormat="1" x14ac:dyDescent="0.2">
      <c r="E279" s="85"/>
    </row>
    <row r="280" spans="5:5" s="8" customFormat="1" x14ac:dyDescent="0.2">
      <c r="E280" s="85"/>
    </row>
    <row r="281" spans="5:5" s="8" customFormat="1" x14ac:dyDescent="0.2">
      <c r="E281" s="85"/>
    </row>
    <row r="282" spans="5:5" s="8" customFormat="1" x14ac:dyDescent="0.2">
      <c r="E282" s="85"/>
    </row>
    <row r="283" spans="5:5" s="8" customFormat="1" x14ac:dyDescent="0.2">
      <c r="E283" s="85"/>
    </row>
    <row r="284" spans="5:5" s="8" customFormat="1" x14ac:dyDescent="0.2">
      <c r="E284" s="85"/>
    </row>
    <row r="285" spans="5:5" s="8" customFormat="1" x14ac:dyDescent="0.2">
      <c r="E285" s="85"/>
    </row>
    <row r="286" spans="5:5" s="8" customFormat="1" x14ac:dyDescent="0.2">
      <c r="E286" s="85"/>
    </row>
    <row r="287" spans="5:5" s="8" customFormat="1" x14ac:dyDescent="0.2">
      <c r="E287" s="85"/>
    </row>
    <row r="288" spans="5:5" s="8" customFormat="1" x14ac:dyDescent="0.2">
      <c r="E288" s="85"/>
    </row>
    <row r="289" spans="5:5" s="8" customFormat="1" x14ac:dyDescent="0.2">
      <c r="E289" s="85"/>
    </row>
    <row r="290" spans="5:5" s="8" customFormat="1" x14ac:dyDescent="0.2">
      <c r="E290" s="85"/>
    </row>
    <row r="291" spans="5:5" s="8" customFormat="1" x14ac:dyDescent="0.2">
      <c r="E291" s="85"/>
    </row>
    <row r="292" spans="5:5" s="8" customFormat="1" x14ac:dyDescent="0.2">
      <c r="E292" s="85"/>
    </row>
    <row r="293" spans="5:5" s="8" customFormat="1" x14ac:dyDescent="0.2">
      <c r="E293" s="85"/>
    </row>
    <row r="294" spans="5:5" s="8" customFormat="1" x14ac:dyDescent="0.2">
      <c r="E294" s="85"/>
    </row>
    <row r="295" spans="5:5" s="8" customFormat="1" x14ac:dyDescent="0.2">
      <c r="E295" s="85"/>
    </row>
    <row r="296" spans="5:5" s="8" customFormat="1" x14ac:dyDescent="0.2">
      <c r="E296" s="85"/>
    </row>
    <row r="297" spans="5:5" s="8" customFormat="1" x14ac:dyDescent="0.2">
      <c r="E297" s="85"/>
    </row>
    <row r="298" spans="5:5" s="8" customFormat="1" x14ac:dyDescent="0.2">
      <c r="E298" s="85"/>
    </row>
    <row r="299" spans="5:5" s="8" customFormat="1" x14ac:dyDescent="0.2">
      <c r="E299" s="85"/>
    </row>
    <row r="300" spans="5:5" s="8" customFormat="1" x14ac:dyDescent="0.2">
      <c r="E300" s="85"/>
    </row>
    <row r="301" spans="5:5" s="8" customFormat="1" x14ac:dyDescent="0.2">
      <c r="E301" s="85"/>
    </row>
    <row r="302" spans="5:5" s="8" customFormat="1" x14ac:dyDescent="0.2">
      <c r="E302" s="85"/>
    </row>
    <row r="303" spans="5:5" s="8" customFormat="1" x14ac:dyDescent="0.2">
      <c r="E303" s="85"/>
    </row>
    <row r="304" spans="5:5" s="8" customFormat="1" x14ac:dyDescent="0.2">
      <c r="E304" s="85"/>
    </row>
    <row r="305" spans="5:5" s="8" customFormat="1" x14ac:dyDescent="0.2">
      <c r="E305" s="85"/>
    </row>
    <row r="306" spans="5:5" s="8" customFormat="1" x14ac:dyDescent="0.2">
      <c r="E306" s="85"/>
    </row>
    <row r="307" spans="5:5" s="8" customFormat="1" x14ac:dyDescent="0.2">
      <c r="E307" s="85"/>
    </row>
    <row r="308" spans="5:5" s="8" customFormat="1" x14ac:dyDescent="0.2">
      <c r="E308" s="85"/>
    </row>
    <row r="309" spans="5:5" s="8" customFormat="1" x14ac:dyDescent="0.2">
      <c r="E309" s="85"/>
    </row>
    <row r="310" spans="5:5" s="8" customFormat="1" x14ac:dyDescent="0.2">
      <c r="E310" s="85"/>
    </row>
    <row r="311" spans="5:5" s="8" customFormat="1" x14ac:dyDescent="0.2">
      <c r="E311" s="85"/>
    </row>
    <row r="312" spans="5:5" s="8" customFormat="1" x14ac:dyDescent="0.2">
      <c r="E312" s="85"/>
    </row>
    <row r="313" spans="5:5" s="8" customFormat="1" x14ac:dyDescent="0.2">
      <c r="E313" s="85"/>
    </row>
    <row r="314" spans="5:5" s="8" customFormat="1" x14ac:dyDescent="0.2">
      <c r="E314" s="85"/>
    </row>
    <row r="315" spans="5:5" s="8" customFormat="1" x14ac:dyDescent="0.2">
      <c r="E315" s="85"/>
    </row>
    <row r="316" spans="5:5" s="8" customFormat="1" x14ac:dyDescent="0.2">
      <c r="E316" s="85"/>
    </row>
    <row r="317" spans="5:5" s="8" customFormat="1" x14ac:dyDescent="0.2">
      <c r="E317" s="85"/>
    </row>
    <row r="318" spans="5:5" s="8" customFormat="1" x14ac:dyDescent="0.2">
      <c r="E318" s="85"/>
    </row>
    <row r="319" spans="5:5" s="8" customFormat="1" x14ac:dyDescent="0.2">
      <c r="E319" s="85"/>
    </row>
    <row r="320" spans="5:5" s="8" customFormat="1" x14ac:dyDescent="0.2">
      <c r="E320" s="85"/>
    </row>
    <row r="321" spans="5:5" s="8" customFormat="1" x14ac:dyDescent="0.2">
      <c r="E321" s="85"/>
    </row>
    <row r="322" spans="5:5" s="8" customFormat="1" x14ac:dyDescent="0.2">
      <c r="E322" s="85"/>
    </row>
    <row r="323" spans="5:5" s="8" customFormat="1" x14ac:dyDescent="0.2">
      <c r="E323" s="85"/>
    </row>
    <row r="324" spans="5:5" s="8" customFormat="1" x14ac:dyDescent="0.2">
      <c r="E324" s="85"/>
    </row>
    <row r="325" spans="5:5" s="8" customFormat="1" x14ac:dyDescent="0.2">
      <c r="E325" s="85"/>
    </row>
    <row r="326" spans="5:5" s="8" customFormat="1" x14ac:dyDescent="0.2">
      <c r="E326" s="85"/>
    </row>
    <row r="327" spans="5:5" s="8" customFormat="1" x14ac:dyDescent="0.2">
      <c r="E327" s="85"/>
    </row>
    <row r="328" spans="5:5" s="8" customFormat="1" x14ac:dyDescent="0.2">
      <c r="E328" s="85"/>
    </row>
    <row r="329" spans="5:5" s="8" customFormat="1" x14ac:dyDescent="0.2">
      <c r="E329" s="85"/>
    </row>
    <row r="330" spans="5:5" s="8" customFormat="1" x14ac:dyDescent="0.2">
      <c r="E330" s="85"/>
    </row>
    <row r="331" spans="5:5" s="8" customFormat="1" x14ac:dyDescent="0.2">
      <c r="E331" s="85"/>
    </row>
    <row r="332" spans="5:5" s="8" customFormat="1" x14ac:dyDescent="0.2">
      <c r="E332" s="85"/>
    </row>
    <row r="333" spans="5:5" s="8" customFormat="1" x14ac:dyDescent="0.2">
      <c r="E333" s="85"/>
    </row>
    <row r="334" spans="5:5" s="8" customFormat="1" x14ac:dyDescent="0.2">
      <c r="E334" s="85"/>
    </row>
    <row r="335" spans="5:5" s="8" customFormat="1" x14ac:dyDescent="0.2">
      <c r="E335" s="85"/>
    </row>
    <row r="336" spans="5:5" s="8" customFormat="1" x14ac:dyDescent="0.2">
      <c r="E336" s="85"/>
    </row>
    <row r="337" spans="5:5" s="8" customFormat="1" x14ac:dyDescent="0.2">
      <c r="E337" s="85"/>
    </row>
    <row r="338" spans="5:5" s="8" customFormat="1" x14ac:dyDescent="0.2">
      <c r="E338" s="85"/>
    </row>
    <row r="339" spans="5:5" s="8" customFormat="1" x14ac:dyDescent="0.2">
      <c r="E339" s="85"/>
    </row>
    <row r="340" spans="5:5" s="8" customFormat="1" x14ac:dyDescent="0.2">
      <c r="E340" s="85"/>
    </row>
    <row r="341" spans="5:5" s="8" customFormat="1" x14ac:dyDescent="0.2">
      <c r="E341" s="85"/>
    </row>
    <row r="342" spans="5:5" s="8" customFormat="1" x14ac:dyDescent="0.2">
      <c r="E342" s="85"/>
    </row>
    <row r="343" spans="5:5" s="8" customFormat="1" x14ac:dyDescent="0.2">
      <c r="E343" s="85"/>
    </row>
    <row r="344" spans="5:5" s="8" customFormat="1" x14ac:dyDescent="0.2">
      <c r="E344" s="85"/>
    </row>
    <row r="345" spans="5:5" s="8" customFormat="1" x14ac:dyDescent="0.2">
      <c r="E345" s="85"/>
    </row>
    <row r="346" spans="5:5" s="8" customFormat="1" x14ac:dyDescent="0.2">
      <c r="E346" s="85"/>
    </row>
    <row r="347" spans="5:5" s="8" customFormat="1" x14ac:dyDescent="0.2">
      <c r="E347" s="85"/>
    </row>
    <row r="348" spans="5:5" s="8" customFormat="1" x14ac:dyDescent="0.2">
      <c r="E348" s="85"/>
    </row>
    <row r="349" spans="5:5" s="8" customFormat="1" x14ac:dyDescent="0.2">
      <c r="E349" s="85"/>
    </row>
    <row r="350" spans="5:5" s="8" customFormat="1" x14ac:dyDescent="0.2">
      <c r="E350" s="85"/>
    </row>
    <row r="351" spans="5:5" s="8" customFormat="1" x14ac:dyDescent="0.2">
      <c r="E351" s="85"/>
    </row>
    <row r="352" spans="5:5" s="8" customFormat="1" x14ac:dyDescent="0.2">
      <c r="E352" s="85"/>
    </row>
    <row r="353" spans="5:5" s="8" customFormat="1" x14ac:dyDescent="0.2">
      <c r="E353" s="85"/>
    </row>
    <row r="354" spans="5:5" s="8" customFormat="1" x14ac:dyDescent="0.2">
      <c r="E354" s="85"/>
    </row>
    <row r="355" spans="5:5" s="8" customFormat="1" x14ac:dyDescent="0.2">
      <c r="E355" s="85"/>
    </row>
    <row r="356" spans="5:5" s="8" customFormat="1" x14ac:dyDescent="0.2">
      <c r="E356" s="85"/>
    </row>
    <row r="357" spans="5:5" s="8" customFormat="1" x14ac:dyDescent="0.2">
      <c r="E357" s="85"/>
    </row>
    <row r="358" spans="5:5" s="8" customFormat="1" x14ac:dyDescent="0.2">
      <c r="E358" s="85"/>
    </row>
    <row r="359" spans="5:5" s="8" customFormat="1" x14ac:dyDescent="0.2">
      <c r="E359" s="85"/>
    </row>
    <row r="360" spans="5:5" s="8" customFormat="1" x14ac:dyDescent="0.2">
      <c r="E360" s="85"/>
    </row>
    <row r="361" spans="5:5" s="8" customFormat="1" x14ac:dyDescent="0.2">
      <c r="E361" s="85"/>
    </row>
    <row r="362" spans="5:5" s="8" customFormat="1" x14ac:dyDescent="0.2">
      <c r="E362" s="85"/>
    </row>
    <row r="363" spans="5:5" s="8" customFormat="1" x14ac:dyDescent="0.2">
      <c r="E363" s="85"/>
    </row>
    <row r="364" spans="5:5" s="8" customFormat="1" x14ac:dyDescent="0.2">
      <c r="E364" s="85"/>
    </row>
    <row r="365" spans="5:5" s="8" customFormat="1" x14ac:dyDescent="0.2">
      <c r="E365" s="85"/>
    </row>
    <row r="366" spans="5:5" s="8" customFormat="1" x14ac:dyDescent="0.2">
      <c r="E366" s="85"/>
    </row>
    <row r="367" spans="5:5" s="8" customFormat="1" x14ac:dyDescent="0.2">
      <c r="E367" s="85"/>
    </row>
    <row r="368" spans="5:5" s="8" customFormat="1" x14ac:dyDescent="0.2">
      <c r="E368" s="85"/>
    </row>
    <row r="369" spans="5:5" s="8" customFormat="1" x14ac:dyDescent="0.2">
      <c r="E369" s="85"/>
    </row>
    <row r="370" spans="5:5" s="8" customFormat="1" x14ac:dyDescent="0.2">
      <c r="E370" s="85"/>
    </row>
    <row r="371" spans="5:5" s="8" customFormat="1" x14ac:dyDescent="0.2">
      <c r="E371" s="85"/>
    </row>
    <row r="372" spans="5:5" s="8" customFormat="1" x14ac:dyDescent="0.2">
      <c r="E372" s="85"/>
    </row>
    <row r="373" spans="5:5" s="8" customFormat="1" x14ac:dyDescent="0.2">
      <c r="E373" s="85"/>
    </row>
    <row r="374" spans="5:5" s="8" customFormat="1" x14ac:dyDescent="0.2">
      <c r="E374" s="85"/>
    </row>
    <row r="375" spans="5:5" s="8" customFormat="1" x14ac:dyDescent="0.2">
      <c r="E375" s="85"/>
    </row>
    <row r="376" spans="5:5" s="8" customFormat="1" x14ac:dyDescent="0.2">
      <c r="E376" s="85"/>
    </row>
    <row r="377" spans="5:5" s="8" customFormat="1" x14ac:dyDescent="0.2">
      <c r="E377" s="85"/>
    </row>
    <row r="378" spans="5:5" s="8" customFormat="1" x14ac:dyDescent="0.2">
      <c r="E378" s="85"/>
    </row>
    <row r="379" spans="5:5" s="8" customFormat="1" x14ac:dyDescent="0.2">
      <c r="E379" s="85"/>
    </row>
    <row r="380" spans="5:5" s="8" customFormat="1" x14ac:dyDescent="0.2">
      <c r="E380" s="85"/>
    </row>
    <row r="381" spans="5:5" s="8" customFormat="1" x14ac:dyDescent="0.2">
      <c r="E381" s="85"/>
    </row>
    <row r="382" spans="5:5" s="8" customFormat="1" x14ac:dyDescent="0.2">
      <c r="E382" s="85"/>
    </row>
    <row r="383" spans="5:5" s="8" customFormat="1" x14ac:dyDescent="0.2">
      <c r="E383" s="85"/>
    </row>
    <row r="384" spans="5:5" s="8" customFormat="1" x14ac:dyDescent="0.2">
      <c r="E384" s="85"/>
    </row>
    <row r="385" spans="5:5" s="8" customFormat="1" x14ac:dyDescent="0.2">
      <c r="E385" s="85"/>
    </row>
    <row r="386" spans="5:5" s="8" customFormat="1" x14ac:dyDescent="0.2">
      <c r="E386" s="85"/>
    </row>
    <row r="387" spans="5:5" s="8" customFormat="1" x14ac:dyDescent="0.2">
      <c r="E387" s="85"/>
    </row>
    <row r="388" spans="5:5" s="8" customFormat="1" x14ac:dyDescent="0.2">
      <c r="E388" s="85"/>
    </row>
    <row r="389" spans="5:5" s="8" customFormat="1" x14ac:dyDescent="0.2">
      <c r="E389" s="85"/>
    </row>
    <row r="390" spans="5:5" s="8" customFormat="1" x14ac:dyDescent="0.2">
      <c r="E390" s="85"/>
    </row>
    <row r="391" spans="5:5" s="8" customFormat="1" x14ac:dyDescent="0.2">
      <c r="E391" s="85"/>
    </row>
    <row r="392" spans="5:5" s="8" customFormat="1" x14ac:dyDescent="0.2">
      <c r="E392" s="85"/>
    </row>
    <row r="393" spans="5:5" s="8" customFormat="1" x14ac:dyDescent="0.2">
      <c r="E393" s="85"/>
    </row>
    <row r="394" spans="5:5" s="8" customFormat="1" x14ac:dyDescent="0.2">
      <c r="E394" s="85"/>
    </row>
    <row r="395" spans="5:5" s="8" customFormat="1" x14ac:dyDescent="0.2">
      <c r="E395" s="85"/>
    </row>
    <row r="396" spans="5:5" s="8" customFormat="1" x14ac:dyDescent="0.2">
      <c r="E396" s="85"/>
    </row>
    <row r="397" spans="5:5" s="8" customFormat="1" x14ac:dyDescent="0.2">
      <c r="E397" s="85"/>
    </row>
    <row r="398" spans="5:5" s="8" customFormat="1" x14ac:dyDescent="0.2">
      <c r="E398" s="85"/>
    </row>
    <row r="399" spans="5:5" s="8" customFormat="1" x14ac:dyDescent="0.2">
      <c r="E399" s="85"/>
    </row>
    <row r="400" spans="5:5" s="8" customFormat="1" x14ac:dyDescent="0.2">
      <c r="E400" s="85"/>
    </row>
    <row r="401" spans="5:5" s="8" customFormat="1" x14ac:dyDescent="0.2">
      <c r="E401" s="85"/>
    </row>
    <row r="402" spans="5:5" s="8" customFormat="1" x14ac:dyDescent="0.2">
      <c r="E402" s="85"/>
    </row>
    <row r="403" spans="5:5" s="8" customFormat="1" x14ac:dyDescent="0.2">
      <c r="E403" s="85"/>
    </row>
    <row r="404" spans="5:5" s="8" customFormat="1" x14ac:dyDescent="0.2">
      <c r="E404" s="85"/>
    </row>
    <row r="405" spans="5:5" s="8" customFormat="1" x14ac:dyDescent="0.2">
      <c r="E405" s="85"/>
    </row>
    <row r="406" spans="5:5" s="8" customFormat="1" x14ac:dyDescent="0.2">
      <c r="E406" s="85"/>
    </row>
    <row r="407" spans="5:5" s="8" customFormat="1" x14ac:dyDescent="0.2">
      <c r="E407" s="85"/>
    </row>
    <row r="408" spans="5:5" s="8" customFormat="1" x14ac:dyDescent="0.2">
      <c r="E408" s="85"/>
    </row>
    <row r="409" spans="5:5" s="8" customFormat="1" x14ac:dyDescent="0.2">
      <c r="E409" s="85"/>
    </row>
    <row r="410" spans="5:5" s="8" customFormat="1" x14ac:dyDescent="0.2">
      <c r="E410" s="85"/>
    </row>
  </sheetData>
  <sheetProtection algorithmName="SHA-512" hashValue="BVjTK9uMgdzDIpLWMFFs8pdjhiZHqoNupywW9Jaoed6xKKLQJ6HAinh84ip1Ytirnp1nEMt9IUGH1HA+xBlKQQ==" saltValue="EcCObAzA+SLjIirWYz0LKg==" spinCount="100000" sheet="1" objects="1" scenarios="1" formatCells="0" formatColumns="0" formatRows="0"/>
  <mergeCells count="32">
    <mergeCell ref="B103:D103"/>
    <mergeCell ref="B105:D105"/>
    <mergeCell ref="B109:D109"/>
    <mergeCell ref="B60:D60"/>
    <mergeCell ref="B81:C81"/>
    <mergeCell ref="B90:C90"/>
    <mergeCell ref="B91:C91"/>
    <mergeCell ref="B99:D99"/>
    <mergeCell ref="B69:I69"/>
    <mergeCell ref="B71:I71"/>
    <mergeCell ref="B88:C88"/>
    <mergeCell ref="B89:C89"/>
    <mergeCell ref="B101:D101"/>
    <mergeCell ref="B107:D107"/>
    <mergeCell ref="B54:D54"/>
    <mergeCell ref="B56:D56"/>
    <mergeCell ref="B87:C87"/>
    <mergeCell ref="B32:C32"/>
    <mergeCell ref="B35:C35"/>
    <mergeCell ref="B38:C38"/>
    <mergeCell ref="B41:C41"/>
    <mergeCell ref="B52:D52"/>
    <mergeCell ref="B58:D58"/>
    <mergeCell ref="B84:C84"/>
    <mergeCell ref="B14:I14"/>
    <mergeCell ref="B42:C42"/>
    <mergeCell ref="B50:D50"/>
    <mergeCell ref="B19:I19"/>
    <mergeCell ref="B20:I20"/>
    <mergeCell ref="B22:I22"/>
    <mergeCell ref="I38:I42"/>
    <mergeCell ref="B40:C40"/>
  </mergeCells>
  <dataValidations count="2">
    <dataValidation type="list" allowBlank="1" showInputMessage="1" showErrorMessage="1" sqref="C28">
      <formula1>area_volume</formula1>
    </dataValidation>
    <dataValidation type="list" allowBlank="1" showInputMessage="1" showErrorMessage="1" sqref="C36 C85">
      <formula1>application_method_process</formula1>
    </dataValidation>
  </dataValidations>
  <hyperlinks>
    <hyperlink ref="B9" location="'PT8-dock and deck-fence'!A_Emission_scenario_for_treated_docks_in_service__ESD_Table_4.42__p.120" display="A) Preventive pre-construction foundation treatment (in situ treatment: ESD Table 4.34 p.99, and service life: Table 4.35 p. 102)"/>
    <hyperlink ref="B10" location="'PT8-dock and deck-fence'!B_Emission_scenario_for_treated_decks_fences_in_service__ESD_Table_4.43__p.121" display="B)  Post-construction trench treatment (in situ treatment: ESD Table 4.36 p.105, and service life: Table 4.37 p. 108)"/>
    <hyperlink ref="B64" location="'PT8-dock and deck-fence'!A1" display="Go to the top of the page"/>
    <hyperlink ref="B113" location="'PT8-dock and deck-fence'!A1" display="Go to the top of the pag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130"/>
  <sheetViews>
    <sheetView topLeftCell="A82" zoomScaleNormal="100" workbookViewId="0">
      <selection activeCell="D110" sqref="D110"/>
    </sheetView>
  </sheetViews>
  <sheetFormatPr defaultColWidth="8.75" defaultRowHeight="12.75" x14ac:dyDescent="0.2"/>
  <cols>
    <col min="1" max="1" width="1.625" style="1" customWidth="1"/>
    <col min="2" max="2" width="40.375" style="1" customWidth="1"/>
    <col min="3" max="3" width="29" style="1" customWidth="1"/>
    <col min="4" max="4" width="31.125" style="1" customWidth="1"/>
    <col min="5" max="5" width="17" style="1" bestFit="1" customWidth="1"/>
    <col min="6" max="6" width="16.75" style="1" bestFit="1" customWidth="1"/>
    <col min="7" max="7" width="17.375" style="1" bestFit="1" customWidth="1"/>
    <col min="8" max="8" width="32.125" style="1" customWidth="1"/>
    <col min="9" max="9" width="19.375" style="1" customWidth="1"/>
    <col min="10" max="10" width="14.125" style="1" customWidth="1"/>
    <col min="11" max="11" width="13.125" style="1" customWidth="1"/>
    <col min="12" max="12" width="16.125" style="1" customWidth="1"/>
    <col min="13" max="13" width="20.375" style="1" customWidth="1"/>
    <col min="14" max="14" width="10.625" style="1" customWidth="1"/>
    <col min="15" max="15" width="11.25" style="1" customWidth="1"/>
    <col min="16" max="16384" width="8.75" style="1"/>
  </cols>
  <sheetData>
    <row r="2" spans="2:4" s="8" customFormat="1" ht="18" x14ac:dyDescent="0.2">
      <c r="B2" s="62" t="s">
        <v>39</v>
      </c>
      <c r="C2" s="63"/>
    </row>
    <row r="3" spans="2:4" s="8" customFormat="1" ht="18" x14ac:dyDescent="0.2">
      <c r="B3" s="62" t="s">
        <v>131</v>
      </c>
      <c r="C3" s="63"/>
    </row>
    <row r="4" spans="2:4" s="8" customFormat="1" ht="18" x14ac:dyDescent="0.2">
      <c r="B4" s="62" t="s">
        <v>568</v>
      </c>
      <c r="C4" s="63"/>
    </row>
    <row r="5" spans="2:4" s="8" customFormat="1" x14ac:dyDescent="0.2"/>
    <row r="6" spans="2:4" s="8" customFormat="1" x14ac:dyDescent="0.2">
      <c r="C6" s="106" t="s">
        <v>38</v>
      </c>
      <c r="D6" s="46" t="s">
        <v>68</v>
      </c>
    </row>
    <row r="7" spans="2:4" s="8" customFormat="1" x14ac:dyDescent="0.2">
      <c r="B7" s="100" t="s">
        <v>41</v>
      </c>
      <c r="C7" s="96" t="s">
        <v>45</v>
      </c>
      <c r="D7" s="96" t="s">
        <v>69</v>
      </c>
    </row>
    <row r="8" spans="2:4" s="8" customFormat="1" x14ac:dyDescent="0.2">
      <c r="B8" s="101" t="s">
        <v>43</v>
      </c>
      <c r="C8" s="102" t="s">
        <v>15</v>
      </c>
      <c r="D8" s="98" t="s">
        <v>15</v>
      </c>
    </row>
    <row r="9" spans="2:4" s="8" customFormat="1" x14ac:dyDescent="0.2">
      <c r="B9" s="103" t="s">
        <v>42</v>
      </c>
      <c r="C9" s="102">
        <v>2000</v>
      </c>
      <c r="D9" s="98">
        <v>79</v>
      </c>
    </row>
    <row r="10" spans="2:4" s="8" customFormat="1" x14ac:dyDescent="0.2">
      <c r="B10" s="103" t="s">
        <v>44</v>
      </c>
      <c r="C10" s="102">
        <v>20000</v>
      </c>
      <c r="D10" s="98">
        <v>790</v>
      </c>
    </row>
    <row r="11" spans="2:4" s="8" customFormat="1" x14ac:dyDescent="0.2">
      <c r="B11" s="10"/>
      <c r="C11" s="106"/>
      <c r="D11" s="46"/>
    </row>
    <row r="12" spans="2:4" s="8" customFormat="1" x14ac:dyDescent="0.2">
      <c r="B12" s="85" t="s">
        <v>38</v>
      </c>
      <c r="C12" s="106"/>
      <c r="D12" s="46"/>
    </row>
    <row r="13" spans="2:4" s="8" customFormat="1" x14ac:dyDescent="0.2">
      <c r="B13" s="100" t="s">
        <v>519</v>
      </c>
      <c r="C13" s="100"/>
      <c r="D13" s="100"/>
    </row>
    <row r="14" spans="2:4" s="8" customFormat="1" x14ac:dyDescent="0.2">
      <c r="B14" s="101" t="s">
        <v>522</v>
      </c>
      <c r="C14" s="210" t="s">
        <v>15</v>
      </c>
      <c r="D14" s="210" t="s">
        <v>15</v>
      </c>
    </row>
    <row r="15" spans="2:4" s="8" customFormat="1" x14ac:dyDescent="0.2">
      <c r="B15" s="103" t="s">
        <v>520</v>
      </c>
      <c r="C15" s="210" t="s">
        <v>526</v>
      </c>
      <c r="D15" s="210" t="s">
        <v>523</v>
      </c>
    </row>
    <row r="16" spans="2:4" s="8" customFormat="1" x14ac:dyDescent="0.2">
      <c r="B16" s="103" t="s">
        <v>521</v>
      </c>
      <c r="C16" s="210" t="s">
        <v>525</v>
      </c>
      <c r="D16" s="210" t="s">
        <v>524</v>
      </c>
    </row>
    <row r="17" spans="2:4" s="8" customFormat="1" x14ac:dyDescent="0.2">
      <c r="B17" s="10"/>
      <c r="C17" s="106"/>
      <c r="D17" s="46"/>
    </row>
    <row r="18" spans="2:4" x14ac:dyDescent="0.2">
      <c r="B18" s="1" t="s">
        <v>38</v>
      </c>
    </row>
    <row r="19" spans="2:4" x14ac:dyDescent="0.2">
      <c r="B19" s="95" t="s">
        <v>658</v>
      </c>
      <c r="C19" s="96" t="s">
        <v>40</v>
      </c>
      <c r="D19" s="60"/>
    </row>
    <row r="20" spans="2:4" x14ac:dyDescent="0.2">
      <c r="B20" s="97" t="s">
        <v>659</v>
      </c>
      <c r="C20" s="98" t="s">
        <v>15</v>
      </c>
      <c r="D20" s="47"/>
    </row>
    <row r="21" spans="2:4" x14ac:dyDescent="0.2">
      <c r="B21" s="99" t="s">
        <v>50</v>
      </c>
      <c r="C21" s="98">
        <v>1E-4</v>
      </c>
      <c r="D21" s="47"/>
    </row>
    <row r="22" spans="2:4" x14ac:dyDescent="0.2">
      <c r="B22" s="99" t="s">
        <v>51</v>
      </c>
      <c r="C22" s="98">
        <v>1.5E-3</v>
      </c>
      <c r="D22" s="47"/>
    </row>
    <row r="23" spans="2:4" x14ac:dyDescent="0.2">
      <c r="B23" s="99" t="s">
        <v>52</v>
      </c>
      <c r="C23" s="98">
        <v>3.0000000000000001E-3</v>
      </c>
      <c r="D23" s="47"/>
    </row>
    <row r="24" spans="2:4" x14ac:dyDescent="0.2">
      <c r="B24" s="99" t="s">
        <v>53</v>
      </c>
      <c r="C24" s="98">
        <v>1.4999999999999999E-2</v>
      </c>
    </row>
    <row r="25" spans="2:4" x14ac:dyDescent="0.2">
      <c r="B25" s="99" t="s">
        <v>898</v>
      </c>
      <c r="C25" s="98">
        <v>0.03</v>
      </c>
    </row>
    <row r="26" spans="2:4" x14ac:dyDescent="0.2">
      <c r="B26" s="2"/>
      <c r="C26" s="46"/>
    </row>
    <row r="27" spans="2:4" x14ac:dyDescent="0.2">
      <c r="B27" s="1" t="s">
        <v>740</v>
      </c>
    </row>
    <row r="28" spans="2:4" x14ac:dyDescent="0.2">
      <c r="B28" s="95" t="s">
        <v>54</v>
      </c>
      <c r="C28" s="96" t="s">
        <v>31</v>
      </c>
      <c r="D28" s="60"/>
    </row>
    <row r="29" spans="2:4" x14ac:dyDescent="0.2">
      <c r="B29" s="97" t="s">
        <v>55</v>
      </c>
      <c r="C29" s="98" t="s">
        <v>15</v>
      </c>
      <c r="D29" s="47"/>
    </row>
    <row r="30" spans="2:4" x14ac:dyDescent="0.2">
      <c r="B30" s="99" t="s">
        <v>56</v>
      </c>
      <c r="C30" s="98">
        <v>1E-3</v>
      </c>
      <c r="D30" s="47"/>
    </row>
    <row r="31" spans="2:4" x14ac:dyDescent="0.2">
      <c r="B31" s="99" t="s">
        <v>57</v>
      </c>
      <c r="C31" s="98">
        <v>0.01</v>
      </c>
      <c r="D31" s="47"/>
    </row>
    <row r="32" spans="2:4" x14ac:dyDescent="0.2">
      <c r="B32" s="99" t="s">
        <v>58</v>
      </c>
      <c r="C32" s="98">
        <v>0.02</v>
      </c>
      <c r="D32" s="47"/>
    </row>
    <row r="33" spans="2:4" x14ac:dyDescent="0.2">
      <c r="B33" s="99" t="s">
        <v>59</v>
      </c>
      <c r="C33" s="98">
        <v>7.4999999999999997E-2</v>
      </c>
    </row>
    <row r="34" spans="2:4" x14ac:dyDescent="0.2">
      <c r="B34" s="99" t="s">
        <v>60</v>
      </c>
      <c r="C34" s="98">
        <v>0.15</v>
      </c>
    </row>
    <row r="35" spans="2:4" x14ac:dyDescent="0.2">
      <c r="B35" s="99" t="s">
        <v>899</v>
      </c>
      <c r="C35" s="98">
        <v>0.25</v>
      </c>
    </row>
    <row r="37" spans="2:4" x14ac:dyDescent="0.2">
      <c r="C37" s="46" t="s">
        <v>132</v>
      </c>
      <c r="D37" s="46" t="s">
        <v>145</v>
      </c>
    </row>
    <row r="38" spans="2:4" x14ac:dyDescent="0.2">
      <c r="B38" s="95" t="s">
        <v>136</v>
      </c>
      <c r="C38" s="96" t="s">
        <v>137</v>
      </c>
      <c r="D38" s="96" t="s">
        <v>69</v>
      </c>
    </row>
    <row r="39" spans="2:4" x14ac:dyDescent="0.2">
      <c r="B39" s="97" t="s">
        <v>133</v>
      </c>
      <c r="C39" s="98" t="s">
        <v>15</v>
      </c>
      <c r="D39" s="98" t="s">
        <v>15</v>
      </c>
    </row>
    <row r="40" spans="2:4" x14ac:dyDescent="0.2">
      <c r="B40" s="99" t="s">
        <v>134</v>
      </c>
      <c r="C40" s="98">
        <v>30</v>
      </c>
      <c r="D40" s="98">
        <v>525</v>
      </c>
    </row>
    <row r="41" spans="2:4" x14ac:dyDescent="0.2">
      <c r="B41" s="99" t="s">
        <v>135</v>
      </c>
      <c r="C41" s="98">
        <v>15</v>
      </c>
      <c r="D41" s="98">
        <v>262.5</v>
      </c>
    </row>
    <row r="42" spans="2:4" x14ac:dyDescent="0.2">
      <c r="B42" s="2"/>
      <c r="C42" s="46"/>
      <c r="D42" s="46"/>
    </row>
    <row r="43" spans="2:4" x14ac:dyDescent="0.2">
      <c r="B43" s="2"/>
      <c r="C43" s="46"/>
      <c r="D43" s="47"/>
    </row>
    <row r="44" spans="2:4" s="8" customFormat="1" ht="18" x14ac:dyDescent="0.2">
      <c r="B44" s="62" t="s">
        <v>568</v>
      </c>
      <c r="C44" s="63"/>
    </row>
    <row r="45" spans="2:4" s="8" customFormat="1" x14ac:dyDescent="0.2"/>
    <row r="46" spans="2:4" s="8" customFormat="1" x14ac:dyDescent="0.2">
      <c r="C46" s="106" t="s">
        <v>165</v>
      </c>
      <c r="D46" s="47"/>
    </row>
    <row r="47" spans="2:4" s="8" customFormat="1" x14ac:dyDescent="0.2">
      <c r="B47" s="100" t="s">
        <v>166</v>
      </c>
      <c r="C47" s="96" t="s">
        <v>167</v>
      </c>
      <c r="D47" s="60"/>
    </row>
    <row r="48" spans="2:4" s="8" customFormat="1" x14ac:dyDescent="0.2">
      <c r="B48" s="101" t="s">
        <v>162</v>
      </c>
      <c r="C48" s="102" t="s">
        <v>15</v>
      </c>
      <c r="D48" s="47"/>
    </row>
    <row r="49" spans="2:4" s="8" customFormat="1" x14ac:dyDescent="0.2">
      <c r="B49" s="103" t="s">
        <v>163</v>
      </c>
      <c r="C49" s="102">
        <v>0.03</v>
      </c>
      <c r="D49" s="47"/>
    </row>
    <row r="50" spans="2:4" s="8" customFormat="1" x14ac:dyDescent="0.2">
      <c r="B50" s="103" t="s">
        <v>164</v>
      </c>
      <c r="C50" s="102">
        <v>0.05</v>
      </c>
      <c r="D50" s="47"/>
    </row>
    <row r="51" spans="2:4" s="8" customFormat="1" x14ac:dyDescent="0.2">
      <c r="B51" s="10"/>
      <c r="C51" s="106"/>
      <c r="D51" s="47"/>
    </row>
    <row r="53" spans="2:4" s="8" customFormat="1" ht="18" x14ac:dyDescent="0.2">
      <c r="B53" s="62" t="s">
        <v>302</v>
      </c>
      <c r="C53" s="63"/>
    </row>
    <row r="54" spans="2:4" s="8" customFormat="1" x14ac:dyDescent="0.2"/>
    <row r="55" spans="2:4" s="8" customFormat="1" x14ac:dyDescent="0.2">
      <c r="C55" s="106" t="s">
        <v>265</v>
      </c>
      <c r="D55" s="47"/>
    </row>
    <row r="56" spans="2:4" s="8" customFormat="1" x14ac:dyDescent="0.2">
      <c r="B56" s="100" t="s">
        <v>263</v>
      </c>
      <c r="C56" s="96" t="s">
        <v>266</v>
      </c>
      <c r="D56" s="60"/>
    </row>
    <row r="57" spans="2:4" s="8" customFormat="1" x14ac:dyDescent="0.2">
      <c r="B57" s="101" t="s">
        <v>264</v>
      </c>
      <c r="C57" s="102" t="s">
        <v>15</v>
      </c>
      <c r="D57" s="47"/>
    </row>
    <row r="58" spans="2:4" s="8" customFormat="1" x14ac:dyDescent="0.2">
      <c r="B58" s="103" t="s">
        <v>267</v>
      </c>
      <c r="C58" s="102">
        <v>100</v>
      </c>
      <c r="D58" s="47"/>
    </row>
    <row r="59" spans="2:4" s="8" customFormat="1" x14ac:dyDescent="0.2">
      <c r="B59" s="103" t="s">
        <v>268</v>
      </c>
      <c r="C59" s="102">
        <v>300</v>
      </c>
      <c r="D59" s="47"/>
    </row>
    <row r="60" spans="2:4" x14ac:dyDescent="0.2">
      <c r="B60" s="103" t="s">
        <v>269</v>
      </c>
      <c r="C60" s="102">
        <v>10000</v>
      </c>
    </row>
    <row r="61" spans="2:4" x14ac:dyDescent="0.2">
      <c r="B61" s="10"/>
      <c r="C61" s="106"/>
    </row>
    <row r="63" spans="2:4" s="8" customFormat="1" ht="18" x14ac:dyDescent="0.2">
      <c r="B63" s="242" t="s">
        <v>472</v>
      </c>
      <c r="C63" s="243"/>
    </row>
    <row r="64" spans="2:4" s="8" customFormat="1" x14ac:dyDescent="0.2"/>
    <row r="65" spans="2:4" s="8" customFormat="1" x14ac:dyDescent="0.2">
      <c r="B65" s="100" t="s">
        <v>474</v>
      </c>
      <c r="C65" s="60"/>
      <c r="D65" s="60"/>
    </row>
    <row r="66" spans="2:4" s="8" customFormat="1" x14ac:dyDescent="0.2">
      <c r="B66" s="101" t="s">
        <v>473</v>
      </c>
      <c r="C66" s="148"/>
      <c r="D66" s="47"/>
    </row>
    <row r="67" spans="2:4" s="8" customFormat="1" ht="15" x14ac:dyDescent="0.2">
      <c r="B67" s="103" t="s">
        <v>49</v>
      </c>
      <c r="C67" s="148"/>
      <c r="D67" s="47"/>
    </row>
    <row r="68" spans="2:4" s="8" customFormat="1" ht="15" x14ac:dyDescent="0.2">
      <c r="B68" s="103" t="s">
        <v>156</v>
      </c>
      <c r="C68" s="148"/>
      <c r="D68" s="47"/>
    </row>
    <row r="71" spans="2:4" ht="18" x14ac:dyDescent="0.2">
      <c r="B71" s="242" t="s">
        <v>317</v>
      </c>
      <c r="C71" s="243"/>
    </row>
    <row r="73" spans="2:4" x14ac:dyDescent="0.2">
      <c r="B73" s="1" t="s">
        <v>318</v>
      </c>
    </row>
    <row r="74" spans="2:4" x14ac:dyDescent="0.2">
      <c r="B74" s="95" t="s">
        <v>54</v>
      </c>
      <c r="C74" s="96" t="s">
        <v>31</v>
      </c>
      <c r="D74" s="60"/>
    </row>
    <row r="75" spans="2:4" x14ac:dyDescent="0.2">
      <c r="B75" s="97" t="s">
        <v>55</v>
      </c>
      <c r="C75" s="98" t="s">
        <v>15</v>
      </c>
      <c r="D75" s="47"/>
    </row>
    <row r="76" spans="2:4" x14ac:dyDescent="0.2">
      <c r="B76" s="99" t="s">
        <v>56</v>
      </c>
      <c r="C76" s="98">
        <v>1E-3</v>
      </c>
      <c r="D76" s="47"/>
    </row>
    <row r="77" spans="2:4" x14ac:dyDescent="0.2">
      <c r="B77" s="99" t="s">
        <v>57</v>
      </c>
      <c r="C77" s="98">
        <v>0.01</v>
      </c>
      <c r="D77" s="47"/>
    </row>
    <row r="78" spans="2:4" x14ac:dyDescent="0.2">
      <c r="B78" s="99" t="s">
        <v>58</v>
      </c>
      <c r="C78" s="98">
        <v>0.02</v>
      </c>
      <c r="D78" s="47"/>
    </row>
    <row r="79" spans="2:4" x14ac:dyDescent="0.2">
      <c r="B79" s="99" t="s">
        <v>59</v>
      </c>
      <c r="C79" s="98">
        <v>7.4999999999999997E-2</v>
      </c>
    </row>
    <row r="80" spans="2:4" x14ac:dyDescent="0.2">
      <c r="B80" s="99" t="s">
        <v>60</v>
      </c>
      <c r="C80" s="98">
        <v>0.15</v>
      </c>
    </row>
    <row r="81" spans="2:4" x14ac:dyDescent="0.2">
      <c r="B81" s="99" t="s">
        <v>899</v>
      </c>
      <c r="C81" s="98">
        <v>0.25</v>
      </c>
    </row>
    <row r="83" spans="2:4" x14ac:dyDescent="0.2">
      <c r="C83" s="1" t="s">
        <v>377</v>
      </c>
      <c r="D83" s="1" t="s">
        <v>376</v>
      </c>
    </row>
    <row r="84" spans="2:4" ht="38.25" x14ac:dyDescent="0.2">
      <c r="B84" s="95" t="s">
        <v>338</v>
      </c>
      <c r="C84" s="96" t="s">
        <v>378</v>
      </c>
      <c r="D84" s="96" t="s">
        <v>636</v>
      </c>
    </row>
    <row r="85" spans="2:4" x14ac:dyDescent="0.2">
      <c r="B85" s="97" t="s">
        <v>339</v>
      </c>
      <c r="C85" s="98" t="s">
        <v>15</v>
      </c>
      <c r="D85" s="98" t="s">
        <v>15</v>
      </c>
    </row>
    <row r="86" spans="2:4" x14ac:dyDescent="0.2">
      <c r="B86" s="99" t="s">
        <v>340</v>
      </c>
      <c r="C86" s="98">
        <v>6.28</v>
      </c>
      <c r="D86" s="98">
        <v>7.67</v>
      </c>
    </row>
    <row r="87" spans="2:4" x14ac:dyDescent="0.2">
      <c r="B87" s="99" t="s">
        <v>341</v>
      </c>
      <c r="C87" s="98">
        <v>13.74</v>
      </c>
      <c r="D87" s="98">
        <v>17.53</v>
      </c>
    </row>
    <row r="88" spans="2:4" x14ac:dyDescent="0.2">
      <c r="B88" s="99" t="s">
        <v>342</v>
      </c>
      <c r="C88" s="98">
        <v>22.42</v>
      </c>
      <c r="D88" s="98">
        <v>29.59</v>
      </c>
    </row>
    <row r="89" spans="2:4" x14ac:dyDescent="0.2">
      <c r="B89" s="99" t="s">
        <v>343</v>
      </c>
      <c r="C89" s="98">
        <v>32.33</v>
      </c>
      <c r="D89" s="98">
        <v>43.84</v>
      </c>
    </row>
    <row r="90" spans="2:4" x14ac:dyDescent="0.2">
      <c r="B90" s="99" t="s">
        <v>344</v>
      </c>
      <c r="C90" s="98">
        <v>43.5</v>
      </c>
      <c r="D90" s="98">
        <v>55.81</v>
      </c>
    </row>
    <row r="92" spans="2:4" x14ac:dyDescent="0.2">
      <c r="B92" s="1" t="s">
        <v>351</v>
      </c>
    </row>
    <row r="93" spans="2:4" ht="25.5" x14ac:dyDescent="0.2">
      <c r="B93" s="95" t="s">
        <v>349</v>
      </c>
      <c r="C93" s="96" t="s">
        <v>350</v>
      </c>
    </row>
    <row r="94" spans="2:4" x14ac:dyDescent="0.2">
      <c r="B94" s="97" t="s">
        <v>352</v>
      </c>
      <c r="C94" s="98" t="s">
        <v>15</v>
      </c>
    </row>
    <row r="95" spans="2:4" x14ac:dyDescent="0.2">
      <c r="B95" s="137" t="s">
        <v>379</v>
      </c>
      <c r="C95" s="98">
        <v>1</v>
      </c>
    </row>
    <row r="96" spans="2:4" x14ac:dyDescent="0.2">
      <c r="B96" s="137" t="s">
        <v>901</v>
      </c>
      <c r="C96" s="98">
        <v>0.5</v>
      </c>
    </row>
    <row r="97" spans="2:3" x14ac:dyDescent="0.2">
      <c r="B97" s="137" t="s">
        <v>900</v>
      </c>
      <c r="C97" s="98">
        <v>0.1</v>
      </c>
    </row>
    <row r="98" spans="2:3" x14ac:dyDescent="0.2">
      <c r="B98" s="137" t="s">
        <v>902</v>
      </c>
      <c r="C98" s="98">
        <v>0</v>
      </c>
    </row>
    <row r="101" spans="2:3" ht="18" x14ac:dyDescent="0.2">
      <c r="B101" s="62" t="s">
        <v>464</v>
      </c>
      <c r="C101" s="63"/>
    </row>
    <row r="103" spans="2:3" x14ac:dyDescent="0.2">
      <c r="B103" s="95" t="s">
        <v>465</v>
      </c>
      <c r="C103" s="96" t="s">
        <v>470</v>
      </c>
    </row>
    <row r="104" spans="2:3" x14ac:dyDescent="0.2">
      <c r="B104" s="97" t="s">
        <v>466</v>
      </c>
      <c r="C104" s="98" t="s">
        <v>15</v>
      </c>
    </row>
    <row r="105" spans="2:3" x14ac:dyDescent="0.2">
      <c r="B105" s="137" t="s">
        <v>467</v>
      </c>
      <c r="C105" s="98">
        <f>20*365</f>
        <v>7300</v>
      </c>
    </row>
    <row r="106" spans="2:3" x14ac:dyDescent="0.2">
      <c r="B106" s="137" t="s">
        <v>468</v>
      </c>
      <c r="C106" s="98">
        <f>20*365</f>
        <v>7300</v>
      </c>
    </row>
    <row r="107" spans="2:3" x14ac:dyDescent="0.2">
      <c r="B107" s="137" t="s">
        <v>469</v>
      </c>
      <c r="C107" s="98">
        <f>15*365</f>
        <v>5475</v>
      </c>
    </row>
    <row r="108" spans="2:3" x14ac:dyDescent="0.2">
      <c r="B108" s="137" t="s">
        <v>741</v>
      </c>
      <c r="C108" s="98">
        <f>15*365</f>
        <v>5475</v>
      </c>
    </row>
    <row r="109" spans="2:3" x14ac:dyDescent="0.2">
      <c r="B109" s="137" t="s">
        <v>489</v>
      </c>
      <c r="C109" s="98">
        <f>5*365</f>
        <v>1825</v>
      </c>
    </row>
    <row r="111" spans="2:3" x14ac:dyDescent="0.2">
      <c r="B111" s="95" t="s">
        <v>569</v>
      </c>
    </row>
    <row r="112" spans="2:3" x14ac:dyDescent="0.2">
      <c r="B112" s="137" t="s">
        <v>571</v>
      </c>
    </row>
    <row r="113" spans="2:3" x14ac:dyDescent="0.2">
      <c r="B113" s="137" t="s">
        <v>570</v>
      </c>
    </row>
    <row r="115" spans="2:3" ht="18" x14ac:dyDescent="0.2">
      <c r="B115" s="62" t="s">
        <v>423</v>
      </c>
      <c r="C115" s="63"/>
    </row>
    <row r="117" spans="2:3" x14ac:dyDescent="0.2">
      <c r="B117" s="95" t="s">
        <v>424</v>
      </c>
      <c r="C117" s="96" t="s">
        <v>428</v>
      </c>
    </row>
    <row r="118" spans="2:3" x14ac:dyDescent="0.2">
      <c r="B118" s="97" t="s">
        <v>425</v>
      </c>
      <c r="C118" s="98" t="s">
        <v>15</v>
      </c>
    </row>
    <row r="119" spans="2:3" x14ac:dyDescent="0.2">
      <c r="B119" s="137" t="s">
        <v>426</v>
      </c>
      <c r="C119" s="98">
        <v>90.72</v>
      </c>
    </row>
    <row r="120" spans="2:3" x14ac:dyDescent="0.2">
      <c r="B120" s="99" t="s">
        <v>427</v>
      </c>
      <c r="C120" s="98">
        <v>2.2000000000000002</v>
      </c>
    </row>
    <row r="123" spans="2:3" ht="18" x14ac:dyDescent="0.2">
      <c r="B123" s="62" t="s">
        <v>490</v>
      </c>
      <c r="C123" s="63"/>
    </row>
    <row r="125" spans="2:3" x14ac:dyDescent="0.2">
      <c r="B125" s="95" t="s">
        <v>465</v>
      </c>
      <c r="C125" s="96" t="s">
        <v>470</v>
      </c>
    </row>
    <row r="126" spans="2:3" x14ac:dyDescent="0.2">
      <c r="B126" s="97" t="s">
        <v>466</v>
      </c>
      <c r="C126" s="98" t="s">
        <v>15</v>
      </c>
    </row>
    <row r="127" spans="2:3" x14ac:dyDescent="0.2">
      <c r="B127" s="137" t="s">
        <v>467</v>
      </c>
      <c r="C127" s="98">
        <f>20*365</f>
        <v>7300</v>
      </c>
    </row>
    <row r="128" spans="2:3" x14ac:dyDescent="0.2">
      <c r="B128" s="137" t="s">
        <v>468</v>
      </c>
      <c r="C128" s="98">
        <f>20*365</f>
        <v>7300</v>
      </c>
    </row>
    <row r="129" spans="2:3" x14ac:dyDescent="0.2">
      <c r="B129" s="137" t="s">
        <v>469</v>
      </c>
      <c r="C129" s="98">
        <f>15*365</f>
        <v>5475</v>
      </c>
    </row>
    <row r="130" spans="2:3" x14ac:dyDescent="0.2">
      <c r="B130" s="137" t="s">
        <v>741</v>
      </c>
      <c r="C130" s="98">
        <f>15*365</f>
        <v>5475</v>
      </c>
    </row>
  </sheetData>
  <sheetProtection algorithmName="SHA-512" hashValue="tSf+KDBz9ndqthgbmLhfR/lpktufvUv1VJwS4/vLZo8SfuWxEvgt6nP6e6q/OB8AezUfcQkv8qWgX7u+IM0WNQ==" saltValue="8lypcbql9ybGf1D1x4RfLg==" spinCount="100000" sheet="1" objects="1" scenarios="1" formatCells="0" formatColumns="0" formatRows="0"/>
  <dataConsolidate/>
  <dataValidations count="1">
    <dataValidation type="list" allowBlank="1" showDropDown="1" showInputMessage="1" showErrorMessage="1" sqref="B20:B26 B29:B35 D13 B39:B43 B48:B51 B104:B109 B112:B113 B85:B90 B94:B98 B118:B120 B57:B61 B66:B68 B126:B130 B8:B11 B13:B17 B75:B81">
      <formula1>ActiveIngredient</formula1>
    </dataValidation>
  </dataValidation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5"/>
  <sheetViews>
    <sheetView zoomScale="95" zoomScaleNormal="95" workbookViewId="0">
      <selection activeCell="B35" sqref="B35:P35"/>
    </sheetView>
  </sheetViews>
  <sheetFormatPr defaultColWidth="9" defaultRowHeight="12.75" x14ac:dyDescent="0.2"/>
  <cols>
    <col min="1" max="1" width="1.625" style="2" customWidth="1"/>
    <col min="2" max="19" width="10.625" style="2" customWidth="1"/>
    <col min="20" max="16384" width="9" style="2"/>
  </cols>
  <sheetData>
    <row r="2" spans="2:19" ht="19.5" x14ac:dyDescent="0.25">
      <c r="B2" s="356" t="s">
        <v>35</v>
      </c>
      <c r="C2" s="356"/>
      <c r="D2" s="356"/>
      <c r="E2" s="356"/>
      <c r="F2" s="356"/>
      <c r="G2" s="356"/>
      <c r="H2" s="356"/>
      <c r="I2" s="356"/>
      <c r="J2" s="356"/>
      <c r="K2" s="356"/>
      <c r="L2" s="356"/>
      <c r="M2" s="356"/>
      <c r="N2" s="356"/>
      <c r="O2" s="356"/>
      <c r="P2" s="356"/>
    </row>
    <row r="5" spans="2:19" ht="18" x14ac:dyDescent="0.2">
      <c r="B5" s="54" t="s">
        <v>16</v>
      </c>
      <c r="C5" s="25"/>
      <c r="D5" s="25"/>
      <c r="E5" s="25"/>
      <c r="F5" s="25"/>
      <c r="G5" s="25"/>
      <c r="H5" s="25"/>
      <c r="I5" s="25"/>
      <c r="J5" s="25"/>
      <c r="K5" s="25"/>
      <c r="L5" s="25"/>
      <c r="M5" s="25"/>
      <c r="N5" s="25"/>
      <c r="O5" s="25"/>
      <c r="P5" s="25"/>
      <c r="Q5" s="28"/>
      <c r="R5" s="28"/>
      <c r="S5" s="28"/>
    </row>
    <row r="6" spans="2:19" ht="15" x14ac:dyDescent="0.2">
      <c r="B6" s="28"/>
      <c r="C6" s="28"/>
      <c r="D6" s="28"/>
      <c r="E6" s="28"/>
      <c r="F6" s="28"/>
      <c r="G6" s="28"/>
      <c r="H6" s="28"/>
      <c r="I6" s="28"/>
      <c r="J6" s="28"/>
      <c r="K6" s="28"/>
      <c r="L6" s="28"/>
      <c r="M6" s="28"/>
      <c r="N6" s="28"/>
      <c r="O6" s="28"/>
      <c r="P6" s="28"/>
      <c r="Q6" s="28"/>
      <c r="R6" s="28"/>
      <c r="S6" s="28"/>
    </row>
    <row r="7" spans="2:19" ht="15" x14ac:dyDescent="0.2">
      <c r="B7" s="361" t="s">
        <v>495</v>
      </c>
      <c r="C7" s="361"/>
      <c r="D7" s="361"/>
      <c r="E7" s="361"/>
      <c r="F7" s="361"/>
      <c r="G7" s="361"/>
      <c r="H7" s="361"/>
      <c r="I7" s="361"/>
      <c r="J7" s="361"/>
      <c r="K7" s="361"/>
      <c r="L7" s="361"/>
      <c r="M7" s="361"/>
      <c r="N7" s="361"/>
      <c r="O7" s="361"/>
      <c r="P7" s="361"/>
    </row>
    <row r="9" spans="2:19" ht="15" x14ac:dyDescent="0.2">
      <c r="B9" s="361" t="s">
        <v>496</v>
      </c>
      <c r="C9" s="361"/>
      <c r="D9" s="361"/>
      <c r="E9" s="361"/>
      <c r="F9" s="361"/>
      <c r="G9" s="361"/>
      <c r="H9" s="361"/>
      <c r="I9" s="361"/>
      <c r="J9" s="361"/>
      <c r="K9" s="361"/>
      <c r="L9" s="361"/>
      <c r="M9" s="361"/>
      <c r="N9" s="361"/>
      <c r="O9" s="361"/>
      <c r="P9" s="361"/>
    </row>
    <row r="11" spans="2:19" ht="15" x14ac:dyDescent="0.2">
      <c r="B11" s="361" t="s">
        <v>553</v>
      </c>
      <c r="C11" s="361"/>
      <c r="D11" s="361"/>
      <c r="E11" s="361"/>
      <c r="F11" s="361"/>
      <c r="G11" s="361"/>
      <c r="H11" s="361"/>
      <c r="I11" s="361"/>
      <c r="J11" s="361"/>
      <c r="K11" s="361"/>
      <c r="L11" s="361"/>
      <c r="M11" s="361"/>
      <c r="N11" s="361"/>
      <c r="O11" s="361"/>
      <c r="P11" s="361"/>
    </row>
    <row r="13" spans="2:19" ht="15" x14ac:dyDescent="0.2">
      <c r="B13" s="361" t="s">
        <v>151</v>
      </c>
      <c r="C13" s="361"/>
      <c r="D13" s="361"/>
      <c r="E13" s="361"/>
      <c r="F13" s="361"/>
      <c r="G13" s="361"/>
      <c r="H13" s="361"/>
      <c r="I13" s="361"/>
      <c r="J13" s="361"/>
      <c r="K13" s="361"/>
      <c r="L13" s="361"/>
      <c r="M13" s="361"/>
      <c r="N13" s="361"/>
      <c r="O13" s="361"/>
      <c r="P13" s="361"/>
    </row>
    <row r="15" spans="2:19" ht="36.75" customHeight="1" x14ac:dyDescent="0.2">
      <c r="B15" s="360" t="s">
        <v>737</v>
      </c>
      <c r="C15" s="360"/>
      <c r="D15" s="360"/>
      <c r="E15" s="360"/>
      <c r="F15" s="360"/>
      <c r="G15" s="360"/>
      <c r="H15" s="360"/>
      <c r="I15" s="360"/>
      <c r="J15" s="360"/>
      <c r="K15" s="360"/>
      <c r="L15" s="360"/>
      <c r="M15" s="360"/>
      <c r="N15" s="360"/>
      <c r="O15" s="360"/>
      <c r="P15" s="360"/>
      <c r="Q15" s="209"/>
    </row>
    <row r="16" spans="2:19" ht="15" x14ac:dyDescent="0.2">
      <c r="B16" s="245"/>
      <c r="C16" s="245"/>
      <c r="D16" s="245"/>
      <c r="E16" s="245"/>
      <c r="F16" s="245"/>
      <c r="G16" s="245"/>
      <c r="H16" s="245"/>
      <c r="I16" s="245"/>
      <c r="J16" s="245"/>
      <c r="K16" s="245"/>
      <c r="L16" s="245"/>
      <c r="M16" s="245"/>
      <c r="N16" s="245"/>
      <c r="O16" s="245"/>
      <c r="P16" s="245"/>
      <c r="Q16" s="209"/>
    </row>
    <row r="17" spans="2:17" ht="15" x14ac:dyDescent="0.2">
      <c r="B17" s="360" t="s">
        <v>534</v>
      </c>
      <c r="C17" s="360"/>
      <c r="D17" s="360"/>
      <c r="E17" s="360"/>
      <c r="F17" s="360"/>
      <c r="G17" s="360"/>
      <c r="H17" s="360"/>
      <c r="I17" s="360"/>
      <c r="J17" s="360"/>
      <c r="K17" s="360"/>
      <c r="L17" s="360"/>
      <c r="M17" s="360"/>
      <c r="N17" s="360"/>
      <c r="O17" s="360"/>
      <c r="P17" s="360"/>
      <c r="Q17" s="209"/>
    </row>
    <row r="19" spans="2:17" ht="12.75" customHeight="1" x14ac:dyDescent="0.2">
      <c r="B19" s="360" t="s">
        <v>738</v>
      </c>
      <c r="C19" s="360"/>
      <c r="D19" s="360"/>
      <c r="E19" s="360"/>
      <c r="F19" s="360"/>
      <c r="G19" s="360"/>
      <c r="H19" s="360"/>
      <c r="I19" s="360"/>
      <c r="J19" s="360"/>
      <c r="K19" s="360"/>
      <c r="L19" s="360"/>
      <c r="M19" s="360"/>
      <c r="N19" s="360"/>
      <c r="O19" s="360"/>
      <c r="P19" s="360"/>
    </row>
    <row r="21" spans="2:17" ht="15" x14ac:dyDescent="0.2">
      <c r="B21" s="360" t="s">
        <v>739</v>
      </c>
      <c r="C21" s="360"/>
      <c r="D21" s="360"/>
      <c r="E21" s="360"/>
      <c r="F21" s="360"/>
      <c r="G21" s="360"/>
      <c r="H21" s="360"/>
      <c r="I21" s="360"/>
      <c r="J21" s="360"/>
      <c r="K21" s="360"/>
      <c r="L21" s="360"/>
      <c r="M21" s="360"/>
      <c r="N21" s="360"/>
      <c r="O21" s="360"/>
      <c r="P21" s="360"/>
    </row>
    <row r="23" spans="2:17" ht="15" x14ac:dyDescent="0.2">
      <c r="B23" s="360" t="s">
        <v>510</v>
      </c>
      <c r="C23" s="360"/>
      <c r="D23" s="360"/>
      <c r="E23" s="360"/>
      <c r="F23" s="360"/>
      <c r="G23" s="360"/>
      <c r="H23" s="360"/>
      <c r="I23" s="360"/>
      <c r="J23" s="360"/>
      <c r="K23" s="360"/>
      <c r="L23" s="360"/>
      <c r="M23" s="360"/>
      <c r="N23" s="360"/>
      <c r="O23" s="360"/>
      <c r="P23" s="360"/>
    </row>
    <row r="25" spans="2:17" ht="15" x14ac:dyDescent="0.2">
      <c r="B25" s="360" t="s">
        <v>511</v>
      </c>
      <c r="C25" s="360"/>
      <c r="D25" s="360"/>
      <c r="E25" s="360"/>
      <c r="F25" s="360"/>
      <c r="G25" s="360"/>
      <c r="H25" s="360"/>
      <c r="I25" s="360"/>
      <c r="J25" s="360"/>
      <c r="K25" s="360"/>
      <c r="L25" s="360"/>
      <c r="M25" s="360"/>
      <c r="N25" s="360"/>
      <c r="O25" s="360"/>
      <c r="P25" s="360"/>
    </row>
    <row r="27" spans="2:17" ht="15" x14ac:dyDescent="0.2">
      <c r="B27" s="360" t="s">
        <v>512</v>
      </c>
      <c r="C27" s="360"/>
      <c r="D27" s="360"/>
      <c r="E27" s="360"/>
      <c r="F27" s="360"/>
      <c r="G27" s="360"/>
      <c r="H27" s="360"/>
      <c r="I27" s="360"/>
      <c r="J27" s="360"/>
      <c r="K27" s="360"/>
      <c r="L27" s="360"/>
      <c r="M27" s="360"/>
      <c r="N27" s="360"/>
      <c r="O27" s="360"/>
      <c r="P27" s="360"/>
    </row>
    <row r="29" spans="2:17" ht="15" x14ac:dyDescent="0.2">
      <c r="B29" s="360" t="s">
        <v>513</v>
      </c>
      <c r="C29" s="360"/>
      <c r="D29" s="360"/>
      <c r="E29" s="360"/>
      <c r="F29" s="360"/>
      <c r="G29" s="360"/>
      <c r="H29" s="360"/>
      <c r="I29" s="360"/>
      <c r="J29" s="360"/>
      <c r="K29" s="360"/>
      <c r="L29" s="360"/>
      <c r="M29" s="360"/>
      <c r="N29" s="360"/>
      <c r="O29" s="360"/>
      <c r="P29" s="360"/>
    </row>
    <row r="31" spans="2:17" ht="15" x14ac:dyDescent="0.2">
      <c r="B31" s="360" t="s">
        <v>514</v>
      </c>
      <c r="C31" s="360"/>
      <c r="D31" s="360"/>
      <c r="E31" s="360"/>
      <c r="F31" s="360"/>
      <c r="G31" s="360"/>
      <c r="H31" s="360"/>
      <c r="I31" s="360"/>
      <c r="J31" s="360"/>
      <c r="K31" s="360"/>
      <c r="L31" s="360"/>
      <c r="M31" s="360"/>
      <c r="N31" s="360"/>
      <c r="O31" s="360"/>
      <c r="P31" s="360"/>
    </row>
    <row r="33" spans="2:16" ht="15" x14ac:dyDescent="0.2">
      <c r="B33" s="360" t="s">
        <v>515</v>
      </c>
      <c r="C33" s="360"/>
      <c r="D33" s="360"/>
      <c r="E33" s="360"/>
      <c r="F33" s="360"/>
      <c r="G33" s="360"/>
      <c r="H33" s="360"/>
      <c r="I33" s="360"/>
      <c r="J33" s="360"/>
      <c r="K33" s="360"/>
      <c r="L33" s="360"/>
      <c r="M33" s="360"/>
      <c r="N33" s="360"/>
      <c r="O33" s="360"/>
      <c r="P33" s="360"/>
    </row>
    <row r="35" spans="2:16" ht="15" x14ac:dyDescent="0.2">
      <c r="B35" s="360" t="s">
        <v>516</v>
      </c>
      <c r="C35" s="360"/>
      <c r="D35" s="360"/>
      <c r="E35" s="360"/>
      <c r="F35" s="360"/>
      <c r="G35" s="360"/>
      <c r="H35" s="360"/>
      <c r="I35" s="360"/>
      <c r="J35" s="360"/>
      <c r="K35" s="360"/>
      <c r="L35" s="360"/>
      <c r="M35" s="360"/>
      <c r="N35" s="360"/>
      <c r="O35" s="360"/>
      <c r="P35" s="360"/>
    </row>
  </sheetData>
  <sheetProtection algorithmName="SHA-512" hashValue="lPHn22dd07KG2ISL270DBMxRMgdD5INSvq35S3fs9TssumQWnJyiALKbMVUDsYFa0iFCVP7OU8K7pX5b3uuKwA==" saltValue="YYjCT97CMDMepu1mY6+DCA==" spinCount="100000" sheet="1" objects="1" scenarios="1" formatCells="0" formatColumns="0" formatRows="0"/>
  <mergeCells count="16">
    <mergeCell ref="B33:P33"/>
    <mergeCell ref="B35:P35"/>
    <mergeCell ref="B25:P25"/>
    <mergeCell ref="B27:P27"/>
    <mergeCell ref="B29:P29"/>
    <mergeCell ref="B31:P31"/>
    <mergeCell ref="B15:P15"/>
    <mergeCell ref="B19:P19"/>
    <mergeCell ref="B21:P21"/>
    <mergeCell ref="B23:P23"/>
    <mergeCell ref="B2:P2"/>
    <mergeCell ref="B7:P7"/>
    <mergeCell ref="B9:P9"/>
    <mergeCell ref="B11:P11"/>
    <mergeCell ref="B13:P13"/>
    <mergeCell ref="B17:P17"/>
  </mergeCells>
  <hyperlinks>
    <hyperlink ref="B7" location="'PT8-automated spraying'!A1" display="Emission estimation for industrial preventive processes - Automated spraying (ESD § 4.1.1, p.38)"/>
    <hyperlink ref="B9" location="'PT8-dipping_immersion processes'!A1" display="Emission estimation for industrial preventive processes - Dipping / immersion processes (ESD § 4.1.2, p.45)"/>
    <hyperlink ref="B11" location="'PT8-low pressure processes'!A1" display="Emission estimation for industrial preventive processes - Vacuum pressure and double vacuum / low pressure processes (ESD § 4.1.3, p.51)"/>
    <hyperlink ref="B13" location="'PT8-prof&amp;amateur in situ treatm'!A1" display="Emission estimation for professional and amateur in situ treatments (curative and preventive) (ESD § 4.2, p.59)"/>
    <hyperlink ref="B15" location="'PT8-treatd wood in service UC3 '!A1" display="Emission estimation for treated wood in service (ESD § 4.3, p.65) - Emission scenario for UC 3 - Wood not covered, not in contact with ground, exposed to weather or subject to frequent wetting"/>
    <hyperlink ref="B23" location="'PT8-indoor fumigation'!A1" display="Emission estimation for additional (niche) scenarios - Indoor fumigation (ESD § 4.4.1, p.87) "/>
    <hyperlink ref="B25" location="'PT8-injection'!A1" display="Emission estimation for additional (niche) scenarios - Injection (ESD § 4.4.2, p.89) "/>
    <hyperlink ref="B27" location="'PT8-wrapping'!A1" display="Emission estimation for additional (niche) scenarios - Wrapping (ESD § 4.4.3, p.93) "/>
    <hyperlink ref="B29" location="'PT8-termite control'!A1" display="Emission estimation for additional (niche) scenarios - Termite control (ESD § 4.4.4, p.95) "/>
    <hyperlink ref="B31" location="'PT8-in-situ spraying'!A1" display="Emission estimation for additional (niche) scenarios - In-situ spraying (outdoors) (ESD § 4.4.5, p.109) "/>
    <hyperlink ref="B33" location="'PT8-railway sleepers'!A1" display="Emission estimation for additional (niche) scenarios - Railway sleepers (ESD § 4.4.6, p.115) "/>
    <hyperlink ref="B35" location="'PT8-dock and deck-fence'!A1" display="Emission estimation for additional (niche) scenarios - Dock and deck/fence scenario (ESD § 4.4.7, p.118) "/>
    <hyperlink ref="B17" location="'PT8-treatd wood in service UC4a'!A1" display="Emission estimation for treated wood in service (ESD § 4.3, p.65) - Emission scenario for UC 4a - Wood in contact with the ground (ESD § 4.3.4, p.76)"/>
    <hyperlink ref="B19:P19" location="'PT8-treatd wood in service UC4b'!A1" display="Emission estimation for treated wood in service (ESD § 4.3, p.65) - Emission scenario for UC 4b - Wood in contact with fresh water"/>
    <hyperlink ref="B21:P21" location="'PT8-treatd wood in service UC5'!A1" display="Emission estimation for treated wood in service (ESD § 4.3, p.65) - Emission scenario for UC 5 - Wood permanently exposed to salt water"/>
    <hyperlink ref="B11:P11" location="'PT8-vacuum_double vacuum proc'!A1" display="Emission estimation for industrial preventive processes - Vacuum pressure and double vacuum (ESD § 4.1.3, p.5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66"/>
  <sheetViews>
    <sheetView zoomScale="95" zoomScaleNormal="95" workbookViewId="0"/>
  </sheetViews>
  <sheetFormatPr defaultColWidth="8.75" defaultRowHeight="12.75" x14ac:dyDescent="0.2"/>
  <cols>
    <col min="1" max="1" width="1.625" style="8" customWidth="1"/>
    <col min="2" max="2" width="30.625" style="11" customWidth="1"/>
    <col min="3" max="3" width="35.625" style="11" customWidth="1"/>
    <col min="4" max="4" width="1.625" style="11" customWidth="1"/>
    <col min="5" max="5" width="20.625" style="91" customWidth="1"/>
    <col min="6" max="6" width="15.625" style="11" customWidth="1"/>
    <col min="7" max="8" width="10.625" style="11" customWidth="1"/>
    <col min="9" max="9" width="50.625" style="11" customWidth="1"/>
    <col min="10" max="10" width="15.625" style="8" customWidth="1"/>
    <col min="11" max="43" width="8.75" style="8"/>
    <col min="44" max="64" width="8.75" style="10"/>
    <col min="65" max="16384" width="8.75" style="11"/>
  </cols>
  <sheetData>
    <row r="1" spans="1:64" x14ac:dyDescent="0.2">
      <c r="A1" s="10"/>
      <c r="B1" s="10"/>
      <c r="C1" s="10"/>
      <c r="D1" s="10"/>
      <c r="E1" s="61"/>
      <c r="F1" s="10"/>
      <c r="G1" s="10"/>
      <c r="H1" s="10"/>
      <c r="I1" s="10"/>
      <c r="J1" s="10"/>
      <c r="K1" s="10"/>
    </row>
    <row r="2" spans="1:64" ht="20.25" x14ac:dyDescent="0.2">
      <c r="A2" s="10"/>
      <c r="B2" s="64" t="s">
        <v>35</v>
      </c>
      <c r="C2" s="65"/>
      <c r="D2" s="65"/>
      <c r="E2" s="66"/>
      <c r="F2" s="10"/>
      <c r="G2" s="10"/>
      <c r="H2" s="10"/>
      <c r="I2" s="10"/>
      <c r="J2" s="10"/>
      <c r="K2" s="10"/>
    </row>
    <row r="3" spans="1:64" x14ac:dyDescent="0.2">
      <c r="A3" s="10"/>
      <c r="B3" s="67"/>
      <c r="C3" s="67"/>
      <c r="D3" s="67"/>
      <c r="E3" s="68"/>
      <c r="F3" s="10"/>
      <c r="G3" s="10"/>
      <c r="H3" s="10"/>
      <c r="I3" s="10"/>
      <c r="J3" s="10"/>
      <c r="K3" s="10"/>
    </row>
    <row r="4" spans="1:64" ht="15" x14ac:dyDescent="0.2">
      <c r="A4" s="10"/>
      <c r="B4" s="69"/>
      <c r="C4" s="69"/>
      <c r="D4" s="69"/>
      <c r="E4" s="70"/>
      <c r="F4" s="10"/>
      <c r="G4" s="10"/>
      <c r="H4" s="10"/>
      <c r="I4" s="10"/>
      <c r="J4" s="10"/>
      <c r="K4" s="10"/>
    </row>
    <row r="5" spans="1:64" ht="18" x14ac:dyDescent="0.2">
      <c r="A5" s="10"/>
      <c r="B5" s="368" t="s">
        <v>495</v>
      </c>
      <c r="C5" s="368"/>
      <c r="D5" s="368"/>
      <c r="E5" s="368"/>
      <c r="F5" s="368"/>
      <c r="G5" s="368"/>
      <c r="H5" s="368"/>
      <c r="I5" s="368"/>
      <c r="J5" s="10"/>
      <c r="K5" s="10"/>
    </row>
    <row r="6" spans="1:64" s="75" customFormat="1" ht="13.5" thickBot="1" x14ac:dyDescent="0.25">
      <c r="A6" s="73"/>
      <c r="B6" s="33"/>
      <c r="C6" s="33"/>
      <c r="D6" s="33"/>
      <c r="E6" s="40"/>
      <c r="F6" s="73"/>
      <c r="G6" s="73"/>
      <c r="H6" s="73"/>
      <c r="I6" s="73"/>
      <c r="J6" s="73"/>
      <c r="K6" s="73"/>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3"/>
      <c r="AS6" s="73"/>
      <c r="AT6" s="73"/>
      <c r="AU6" s="73"/>
      <c r="AV6" s="73"/>
      <c r="AW6" s="73"/>
      <c r="AX6" s="73"/>
      <c r="AY6" s="73"/>
      <c r="AZ6" s="73"/>
      <c r="BA6" s="73"/>
      <c r="BB6" s="73"/>
      <c r="BC6" s="73"/>
      <c r="BD6" s="73"/>
      <c r="BE6" s="73"/>
      <c r="BF6" s="73"/>
      <c r="BG6" s="73"/>
      <c r="BH6" s="73"/>
      <c r="BI6" s="73"/>
      <c r="BJ6" s="73"/>
      <c r="BK6" s="73"/>
      <c r="BL6" s="73"/>
    </row>
    <row r="7" spans="1:64" s="75" customFormat="1" ht="14.25" x14ac:dyDescent="0.2">
      <c r="A7" s="73"/>
      <c r="B7" s="172" t="s">
        <v>494</v>
      </c>
      <c r="C7" s="173"/>
      <c r="D7" s="173"/>
      <c r="E7" s="174"/>
      <c r="F7" s="175"/>
      <c r="G7" s="175"/>
      <c r="H7" s="175"/>
      <c r="I7" s="176"/>
      <c r="J7" s="73"/>
      <c r="K7" s="73"/>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3"/>
      <c r="AS7" s="73"/>
      <c r="AT7" s="73"/>
      <c r="AU7" s="73"/>
      <c r="AV7" s="73"/>
      <c r="AW7" s="73"/>
      <c r="AX7" s="73"/>
      <c r="AY7" s="73"/>
      <c r="AZ7" s="73"/>
      <c r="BA7" s="73"/>
      <c r="BB7" s="73"/>
      <c r="BC7" s="73"/>
      <c r="BD7" s="73"/>
      <c r="BE7" s="73"/>
      <c r="BF7" s="73"/>
      <c r="BG7" s="73"/>
      <c r="BH7" s="73"/>
      <c r="BI7" s="73"/>
      <c r="BJ7" s="73"/>
      <c r="BK7" s="73"/>
      <c r="BL7" s="73"/>
    </row>
    <row r="8" spans="1:64" s="75" customFormat="1" ht="14.25" x14ac:dyDescent="0.2">
      <c r="A8" s="73"/>
      <c r="B8" s="182"/>
      <c r="C8" s="33"/>
      <c r="D8" s="33"/>
      <c r="E8" s="40"/>
      <c r="F8" s="73"/>
      <c r="G8" s="73"/>
      <c r="H8" s="73"/>
      <c r="I8" s="149"/>
      <c r="J8" s="73"/>
      <c r="K8" s="73"/>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3"/>
      <c r="AS8" s="73"/>
      <c r="AT8" s="73"/>
      <c r="AU8" s="73"/>
      <c r="AV8" s="73"/>
      <c r="AW8" s="73"/>
      <c r="AX8" s="73"/>
      <c r="AY8" s="73"/>
      <c r="AZ8" s="73"/>
      <c r="BA8" s="73"/>
      <c r="BB8" s="73"/>
      <c r="BC8" s="73"/>
      <c r="BD8" s="73"/>
      <c r="BE8" s="73"/>
      <c r="BF8" s="73"/>
      <c r="BG8" s="73"/>
      <c r="BH8" s="73"/>
      <c r="BI8" s="73"/>
      <c r="BJ8" s="73"/>
      <c r="BK8" s="73"/>
      <c r="BL8" s="73"/>
    </row>
    <row r="9" spans="1:64" s="75" customFormat="1" ht="15" x14ac:dyDescent="0.2">
      <c r="A9" s="73"/>
      <c r="B9" s="369" t="s">
        <v>37</v>
      </c>
      <c r="C9" s="370"/>
      <c r="D9" s="370"/>
      <c r="E9" s="370"/>
      <c r="F9" s="370"/>
      <c r="G9" s="370"/>
      <c r="H9" s="370"/>
      <c r="I9" s="371"/>
      <c r="J9" s="73"/>
      <c r="K9" s="73"/>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3"/>
      <c r="AS9" s="73"/>
      <c r="AT9" s="73"/>
      <c r="AU9" s="73"/>
      <c r="AV9" s="73"/>
      <c r="AW9" s="73"/>
      <c r="AX9" s="73"/>
      <c r="AY9" s="73"/>
      <c r="AZ9" s="73"/>
      <c r="BA9" s="73"/>
      <c r="BB9" s="73"/>
      <c r="BC9" s="73"/>
      <c r="BD9" s="73"/>
      <c r="BE9" s="73"/>
      <c r="BF9" s="73"/>
      <c r="BG9" s="73"/>
      <c r="BH9" s="73"/>
      <c r="BI9" s="73"/>
      <c r="BJ9" s="73"/>
      <c r="BK9" s="73"/>
      <c r="BL9" s="73"/>
    </row>
    <row r="10" spans="1:64" s="75" customFormat="1" ht="30" customHeight="1" x14ac:dyDescent="0.2">
      <c r="A10" s="73"/>
      <c r="B10" s="369" t="s">
        <v>547</v>
      </c>
      <c r="C10" s="370"/>
      <c r="D10" s="370"/>
      <c r="E10" s="370"/>
      <c r="F10" s="370"/>
      <c r="G10" s="370"/>
      <c r="H10" s="370"/>
      <c r="I10" s="371"/>
      <c r="J10" s="73"/>
      <c r="K10" s="73"/>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3"/>
      <c r="AS10" s="73"/>
      <c r="AT10" s="73"/>
      <c r="AU10" s="73"/>
      <c r="AV10" s="73"/>
      <c r="AW10" s="73"/>
      <c r="AX10" s="73"/>
      <c r="AY10" s="73"/>
      <c r="AZ10" s="73"/>
      <c r="BA10" s="73"/>
      <c r="BB10" s="73"/>
      <c r="BC10" s="73"/>
      <c r="BD10" s="73"/>
      <c r="BE10" s="73"/>
      <c r="BF10" s="73"/>
      <c r="BG10" s="73"/>
      <c r="BH10" s="73"/>
      <c r="BI10" s="73"/>
      <c r="BJ10" s="73"/>
      <c r="BK10" s="73"/>
      <c r="BL10" s="73"/>
    </row>
    <row r="11" spans="1:64" s="75" customFormat="1" ht="13.5" thickBot="1" x14ac:dyDescent="0.25">
      <c r="A11" s="73"/>
      <c r="B11" s="178"/>
      <c r="C11" s="179"/>
      <c r="D11" s="179"/>
      <c r="E11" s="180"/>
      <c r="F11" s="181"/>
      <c r="G11" s="181"/>
      <c r="H11" s="181"/>
      <c r="I11" s="150"/>
      <c r="J11" s="73"/>
      <c r="K11" s="73"/>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3"/>
      <c r="AS11" s="73"/>
      <c r="AT11" s="73"/>
      <c r="AU11" s="73"/>
      <c r="AV11" s="73"/>
      <c r="AW11" s="73"/>
      <c r="AX11" s="73"/>
      <c r="AY11" s="73"/>
      <c r="AZ11" s="73"/>
      <c r="BA11" s="73"/>
      <c r="BB11" s="73"/>
      <c r="BC11" s="73"/>
      <c r="BD11" s="73"/>
      <c r="BE11" s="73"/>
      <c r="BF11" s="73"/>
      <c r="BG11" s="73"/>
      <c r="BH11" s="73"/>
      <c r="BI11" s="73"/>
      <c r="BJ11" s="73"/>
      <c r="BK11" s="73"/>
      <c r="BL11" s="73"/>
    </row>
    <row r="12" spans="1:64" s="75" customFormat="1" x14ac:dyDescent="0.2">
      <c r="A12" s="73"/>
      <c r="B12" s="33"/>
      <c r="C12" s="33"/>
      <c r="D12" s="33"/>
      <c r="E12" s="40"/>
      <c r="F12" s="73"/>
      <c r="G12" s="73"/>
      <c r="H12" s="73"/>
      <c r="I12" s="73"/>
      <c r="J12" s="73"/>
      <c r="K12" s="73"/>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3"/>
      <c r="AS12" s="73"/>
      <c r="AT12" s="73"/>
      <c r="AU12" s="73"/>
      <c r="AV12" s="73"/>
      <c r="AW12" s="73"/>
      <c r="AX12" s="73"/>
      <c r="AY12" s="73"/>
      <c r="AZ12" s="73"/>
      <c r="BA12" s="73"/>
      <c r="BB12" s="73"/>
      <c r="BC12" s="73"/>
      <c r="BD12" s="73"/>
      <c r="BE12" s="73"/>
      <c r="BF12" s="73"/>
      <c r="BG12" s="73"/>
      <c r="BH12" s="73"/>
      <c r="BI12" s="73"/>
      <c r="BJ12" s="73"/>
      <c r="BK12" s="73"/>
      <c r="BL12" s="73"/>
    </row>
    <row r="13" spans="1:64" s="75" customFormat="1" ht="14.25" x14ac:dyDescent="0.2">
      <c r="A13" s="73"/>
      <c r="B13" s="56" t="s">
        <v>493</v>
      </c>
      <c r="C13" s="57"/>
      <c r="D13" s="57"/>
      <c r="E13" s="58"/>
      <c r="F13" s="76"/>
      <c r="G13" s="76"/>
      <c r="H13" s="76"/>
      <c r="I13" s="76"/>
      <c r="J13" s="73"/>
      <c r="K13" s="73"/>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3"/>
      <c r="AS13" s="73"/>
      <c r="AT13" s="73"/>
      <c r="AU13" s="73"/>
      <c r="AV13" s="73"/>
      <c r="AW13" s="73"/>
      <c r="AX13" s="73"/>
      <c r="AY13" s="73"/>
      <c r="AZ13" s="73"/>
      <c r="BA13" s="73"/>
      <c r="BB13" s="73"/>
      <c r="BC13" s="73"/>
      <c r="BD13" s="73"/>
      <c r="BE13" s="73"/>
      <c r="BF13" s="73"/>
      <c r="BG13" s="73"/>
      <c r="BH13" s="73"/>
      <c r="BI13" s="73"/>
      <c r="BJ13" s="73"/>
      <c r="BK13" s="73"/>
      <c r="BL13" s="73"/>
    </row>
    <row r="14" spans="1:64" s="8" customFormat="1" ht="30.75" customHeight="1" x14ac:dyDescent="0.2">
      <c r="B14" s="372" t="s">
        <v>301</v>
      </c>
      <c r="C14" s="372"/>
      <c r="D14" s="372"/>
      <c r="E14" s="372"/>
      <c r="F14" s="372"/>
      <c r="G14" s="372"/>
      <c r="H14" s="372"/>
      <c r="I14" s="372"/>
      <c r="J14" s="42"/>
      <c r="K14" s="42"/>
      <c r="AR14" s="10"/>
      <c r="AS14" s="10"/>
      <c r="AT14" s="10"/>
      <c r="AU14" s="10"/>
      <c r="AV14" s="10"/>
      <c r="AW14" s="10"/>
      <c r="AX14" s="10"/>
      <c r="AY14" s="10"/>
      <c r="AZ14" s="10"/>
      <c r="BA14" s="10"/>
      <c r="BB14" s="10"/>
      <c r="BC14" s="10"/>
      <c r="BD14" s="10"/>
      <c r="BE14" s="10"/>
      <c r="BF14" s="10"/>
      <c r="BG14" s="10"/>
      <c r="BH14" s="10"/>
      <c r="BI14" s="10"/>
      <c r="BJ14" s="10"/>
      <c r="BK14" s="10"/>
      <c r="BL14" s="10"/>
    </row>
    <row r="15" spans="1:64" s="79" customFormat="1" ht="15" x14ac:dyDescent="0.2">
      <c r="A15" s="77"/>
      <c r="B15" s="33"/>
      <c r="C15" s="37"/>
      <c r="D15" s="37"/>
      <c r="E15" s="38"/>
      <c r="F15" s="78"/>
      <c r="G15" s="78"/>
      <c r="H15" s="78"/>
      <c r="I15" s="77"/>
      <c r="J15" s="77"/>
      <c r="K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 x14ac:dyDescent="0.2">
      <c r="A16" s="10"/>
      <c r="B16" s="201" t="s">
        <v>37</v>
      </c>
      <c r="C16" s="80"/>
      <c r="D16" s="81"/>
      <c r="E16" s="81"/>
      <c r="F16" s="10"/>
      <c r="G16" s="10"/>
      <c r="H16" s="10"/>
      <c r="I16" s="10"/>
    </row>
    <row r="17" spans="1:64" ht="15" x14ac:dyDescent="0.2">
      <c r="A17" s="10"/>
      <c r="B17" s="73"/>
      <c r="C17" s="80"/>
      <c r="D17" s="81"/>
      <c r="E17" s="81"/>
      <c r="F17" s="10"/>
      <c r="G17" s="10"/>
      <c r="H17" s="10"/>
      <c r="I17" s="10"/>
    </row>
    <row r="18" spans="1:64" x14ac:dyDescent="0.2">
      <c r="A18" s="10"/>
      <c r="B18" s="82" t="s">
        <v>19</v>
      </c>
      <c r="C18" s="82"/>
      <c r="D18" s="82"/>
      <c r="E18" s="77"/>
      <c r="F18" s="77"/>
      <c r="G18" s="77"/>
      <c r="H18" s="77"/>
      <c r="I18" s="83"/>
    </row>
    <row r="19" spans="1:64" ht="15" customHeight="1" x14ac:dyDescent="0.2">
      <c r="A19" s="10"/>
      <c r="B19" s="366" t="s">
        <v>110</v>
      </c>
      <c r="C19" s="366"/>
      <c r="D19" s="366"/>
      <c r="E19" s="366"/>
      <c r="F19" s="366"/>
      <c r="G19" s="366"/>
      <c r="H19" s="366"/>
      <c r="I19" s="366"/>
    </row>
    <row r="20" spans="1:64" ht="15" customHeight="1" x14ac:dyDescent="0.2">
      <c r="A20" s="10"/>
      <c r="B20" s="366" t="s">
        <v>530</v>
      </c>
      <c r="C20" s="366"/>
      <c r="D20" s="366"/>
      <c r="E20" s="366"/>
      <c r="F20" s="366"/>
      <c r="G20" s="366"/>
      <c r="H20" s="366"/>
      <c r="I20" s="366"/>
      <c r="J20" s="10"/>
      <c r="K20" s="10"/>
      <c r="L20" s="10"/>
      <c r="M20" s="10"/>
      <c r="N20" s="10"/>
      <c r="O20" s="10"/>
      <c r="P20" s="10"/>
    </row>
    <row r="21" spans="1:64" ht="15" customHeight="1" x14ac:dyDescent="0.2">
      <c r="A21" s="10"/>
      <c r="B21" s="366" t="s">
        <v>957</v>
      </c>
      <c r="C21" s="366"/>
      <c r="D21" s="366"/>
      <c r="E21" s="366"/>
      <c r="F21" s="366"/>
      <c r="G21" s="366"/>
      <c r="H21" s="366"/>
      <c r="I21" s="366"/>
      <c r="J21" s="10"/>
      <c r="K21" s="10"/>
      <c r="L21" s="10"/>
      <c r="M21" s="10"/>
      <c r="N21" s="10"/>
      <c r="O21" s="10"/>
      <c r="P21" s="10"/>
    </row>
    <row r="22" spans="1:64" ht="15" customHeight="1" x14ac:dyDescent="0.2">
      <c r="A22" s="10"/>
      <c r="B22" s="366" t="s">
        <v>111</v>
      </c>
      <c r="C22" s="366"/>
      <c r="D22" s="366"/>
      <c r="E22" s="366"/>
      <c r="F22" s="366"/>
      <c r="G22" s="366"/>
      <c r="H22" s="366"/>
      <c r="I22" s="366"/>
      <c r="J22" s="10"/>
      <c r="K22" s="10"/>
      <c r="L22" s="10"/>
      <c r="M22" s="10"/>
      <c r="N22" s="10"/>
      <c r="O22" s="10"/>
      <c r="P22" s="10"/>
    </row>
    <row r="23" spans="1:64" ht="15" customHeight="1" x14ac:dyDescent="0.2">
      <c r="A23" s="10"/>
      <c r="B23" s="366" t="s">
        <v>958</v>
      </c>
      <c r="C23" s="366"/>
      <c r="D23" s="366"/>
      <c r="E23" s="366"/>
      <c r="F23" s="366"/>
      <c r="G23" s="366"/>
      <c r="H23" s="366"/>
      <c r="I23" s="366"/>
      <c r="J23" s="10"/>
      <c r="K23" s="10"/>
      <c r="L23" s="10"/>
      <c r="M23" s="10"/>
      <c r="N23" s="10"/>
      <c r="O23" s="10"/>
      <c r="P23" s="10"/>
    </row>
    <row r="24" spans="1:64" s="8" customFormat="1" ht="3" customHeight="1" x14ac:dyDescent="0.2">
      <c r="A24" s="10"/>
      <c r="D24" s="31"/>
      <c r="E24" s="32"/>
      <c r="F24" s="84"/>
      <c r="G24" s="84"/>
      <c r="H24" s="84"/>
      <c r="I24" s="10"/>
      <c r="J24" s="10"/>
      <c r="K24" s="10"/>
      <c r="AR24" s="10"/>
      <c r="AS24" s="10"/>
      <c r="AT24" s="10"/>
      <c r="AU24" s="10"/>
      <c r="AV24" s="10"/>
      <c r="AW24" s="10"/>
      <c r="AX24" s="10"/>
      <c r="AY24" s="10"/>
      <c r="AZ24" s="10"/>
      <c r="BA24" s="10"/>
      <c r="BB24" s="10"/>
      <c r="BC24" s="10"/>
      <c r="BD24" s="10"/>
      <c r="BE24" s="10"/>
      <c r="BF24" s="10"/>
      <c r="BG24" s="10"/>
      <c r="BH24" s="10"/>
      <c r="BI24" s="10"/>
      <c r="BJ24" s="10"/>
      <c r="BK24" s="10"/>
      <c r="BL24" s="10"/>
    </row>
    <row r="25" spans="1:64" ht="15" x14ac:dyDescent="0.2">
      <c r="A25" s="10"/>
      <c r="B25" s="4" t="s">
        <v>0</v>
      </c>
      <c r="C25" s="4"/>
      <c r="D25" s="4"/>
      <c r="E25" s="12"/>
      <c r="F25" s="12"/>
      <c r="G25" s="12"/>
      <c r="H25" s="12"/>
      <c r="I25" s="13"/>
    </row>
    <row r="26" spans="1:64" x14ac:dyDescent="0.2">
      <c r="A26" s="10"/>
      <c r="B26" s="6"/>
      <c r="C26" s="6"/>
      <c r="D26" s="6"/>
      <c r="E26" s="6"/>
      <c r="F26" s="6"/>
      <c r="G26" s="6"/>
      <c r="H26" s="6"/>
      <c r="I26" s="22"/>
    </row>
    <row r="27" spans="1:64" ht="15" x14ac:dyDescent="0.2">
      <c r="A27" s="10"/>
      <c r="B27" s="14" t="s">
        <v>2</v>
      </c>
      <c r="C27" s="14"/>
      <c r="D27" s="14"/>
      <c r="E27" s="15" t="s">
        <v>4</v>
      </c>
      <c r="F27" s="16" t="s">
        <v>7</v>
      </c>
      <c r="G27" s="16" t="s">
        <v>3</v>
      </c>
      <c r="H27" s="16" t="s">
        <v>11</v>
      </c>
      <c r="I27" s="15" t="s">
        <v>34</v>
      </c>
    </row>
    <row r="28" spans="1:64" ht="13.5" thickBot="1" x14ac:dyDescent="0.25">
      <c r="A28" s="10"/>
      <c r="B28" s="321"/>
      <c r="C28" s="14"/>
      <c r="D28" s="14"/>
      <c r="E28" s="15"/>
      <c r="F28" s="16"/>
      <c r="G28" s="16"/>
      <c r="H28" s="16"/>
      <c r="I28" s="15"/>
    </row>
    <row r="29" spans="1:64" ht="24.95" customHeight="1" thickTop="1" thickBot="1" x14ac:dyDescent="0.25">
      <c r="A29" s="10"/>
      <c r="B29" s="30" t="s">
        <v>46</v>
      </c>
      <c r="C29" s="313" t="s">
        <v>43</v>
      </c>
      <c r="D29" s="9"/>
      <c r="E29" s="6" t="s">
        <v>47</v>
      </c>
      <c r="F29" s="23" t="str">
        <f>INDEX('Pick-lists &amp; Defaults'!C8:C10,MATCH(C29,plant_size,0))</f>
        <v>??</v>
      </c>
      <c r="G29" s="7" t="s">
        <v>29</v>
      </c>
      <c r="H29" s="7" t="s">
        <v>20</v>
      </c>
      <c r="I29" s="22" t="s">
        <v>138</v>
      </c>
    </row>
    <row r="30" spans="1:64" s="8" customFormat="1" ht="5.0999999999999996" customHeight="1" thickTop="1" x14ac:dyDescent="0.2">
      <c r="B30" s="321"/>
      <c r="C30" s="321"/>
      <c r="D30" s="30"/>
      <c r="E30" s="22"/>
      <c r="F30" s="7"/>
      <c r="G30" s="7"/>
      <c r="H30" s="7"/>
      <c r="I30" s="22"/>
      <c r="AR30" s="10"/>
      <c r="AS30" s="10"/>
      <c r="AT30" s="10"/>
      <c r="AU30" s="10"/>
      <c r="AV30" s="10"/>
      <c r="AW30" s="10"/>
      <c r="AX30" s="10"/>
      <c r="AY30" s="10"/>
      <c r="AZ30" s="10"/>
      <c r="BA30" s="10"/>
      <c r="BB30" s="10"/>
      <c r="BC30" s="10"/>
      <c r="BD30" s="10"/>
      <c r="BE30" s="10"/>
      <c r="BF30" s="10"/>
      <c r="BG30" s="10"/>
      <c r="BH30" s="10"/>
      <c r="BI30" s="10"/>
      <c r="BJ30" s="10"/>
      <c r="BK30" s="10"/>
      <c r="BL30" s="10"/>
    </row>
    <row r="31" spans="1:64" s="8" customFormat="1" ht="15" x14ac:dyDescent="0.2">
      <c r="B31" s="362" t="s">
        <v>458</v>
      </c>
      <c r="C31" s="362"/>
      <c r="D31" s="30"/>
      <c r="E31" s="22" t="s">
        <v>48</v>
      </c>
      <c r="F31" s="326"/>
      <c r="G31" s="7" t="s">
        <v>49</v>
      </c>
      <c r="H31" s="7" t="s">
        <v>6</v>
      </c>
      <c r="I31" s="107" t="s">
        <v>546</v>
      </c>
      <c r="AR31" s="10"/>
      <c r="AS31" s="10"/>
      <c r="AT31" s="10"/>
      <c r="AU31" s="10"/>
      <c r="AV31" s="10"/>
      <c r="AW31" s="10"/>
      <c r="AX31" s="10"/>
      <c r="AY31" s="10"/>
      <c r="AZ31" s="10"/>
      <c r="BA31" s="10"/>
      <c r="BB31" s="10"/>
      <c r="BC31" s="10"/>
      <c r="BD31" s="10"/>
      <c r="BE31" s="10"/>
      <c r="BF31" s="10"/>
      <c r="BG31" s="10"/>
      <c r="BH31" s="10"/>
      <c r="BI31" s="10"/>
      <c r="BJ31" s="10"/>
      <c r="BK31" s="10"/>
      <c r="BL31" s="10"/>
    </row>
    <row r="32" spans="1:64" s="8" customFormat="1" ht="13.5" thickBot="1" x14ac:dyDescent="0.25">
      <c r="B32" s="321"/>
      <c r="C32" s="321"/>
      <c r="D32" s="30"/>
      <c r="E32" s="22"/>
      <c r="F32" s="22"/>
      <c r="G32" s="7"/>
      <c r="H32" s="7"/>
      <c r="I32" s="34"/>
      <c r="AR32" s="10"/>
      <c r="AS32" s="10"/>
      <c r="AT32" s="10"/>
      <c r="AU32" s="10"/>
      <c r="AV32" s="10"/>
      <c r="AW32" s="10"/>
      <c r="AX32" s="10"/>
      <c r="AY32" s="10"/>
      <c r="AZ32" s="10"/>
      <c r="BA32" s="10"/>
      <c r="BB32" s="10"/>
      <c r="BC32" s="10"/>
      <c r="BD32" s="10"/>
      <c r="BE32" s="10"/>
      <c r="BF32" s="10"/>
      <c r="BG32" s="10"/>
      <c r="BH32" s="10"/>
      <c r="BI32" s="10"/>
      <c r="BJ32" s="10"/>
      <c r="BK32" s="10"/>
      <c r="BL32" s="10"/>
    </row>
    <row r="33" spans="2:64" s="8" customFormat="1" x14ac:dyDescent="0.2">
      <c r="B33" s="211"/>
      <c r="C33" s="212"/>
      <c r="D33" s="213"/>
      <c r="E33" s="214"/>
      <c r="F33" s="214"/>
      <c r="G33" s="215"/>
      <c r="H33" s="215"/>
      <c r="I33" s="216"/>
      <c r="AR33" s="10"/>
      <c r="AS33" s="10"/>
      <c r="AT33" s="10"/>
      <c r="AU33" s="10"/>
      <c r="AV33" s="10"/>
      <c r="AW33" s="10"/>
      <c r="AX33" s="10"/>
      <c r="AY33" s="10"/>
      <c r="AZ33" s="10"/>
      <c r="BA33" s="10"/>
      <c r="BB33" s="10"/>
      <c r="BC33" s="10"/>
      <c r="BD33" s="10"/>
      <c r="BE33" s="10"/>
      <c r="BF33" s="10"/>
      <c r="BG33" s="10"/>
      <c r="BH33" s="10"/>
      <c r="BI33" s="10"/>
      <c r="BJ33" s="10"/>
      <c r="BK33" s="10"/>
      <c r="BL33" s="10"/>
    </row>
    <row r="34" spans="2:64" s="8" customFormat="1" ht="15" x14ac:dyDescent="0.2">
      <c r="B34" s="226" t="s">
        <v>529</v>
      </c>
      <c r="C34" s="321"/>
      <c r="D34" s="30"/>
      <c r="E34" s="22"/>
      <c r="F34" s="22"/>
      <c r="G34" s="7"/>
      <c r="H34" s="7"/>
      <c r="I34" s="218"/>
      <c r="AR34" s="10"/>
      <c r="AS34" s="10"/>
      <c r="AT34" s="10"/>
      <c r="AU34" s="10"/>
      <c r="AV34" s="10"/>
      <c r="AW34" s="10"/>
      <c r="AX34" s="10"/>
      <c r="AY34" s="10"/>
      <c r="AZ34" s="10"/>
      <c r="BA34" s="10"/>
      <c r="BB34" s="10"/>
      <c r="BC34" s="10"/>
      <c r="BD34" s="10"/>
      <c r="BE34" s="10"/>
      <c r="BF34" s="10"/>
      <c r="BG34" s="10"/>
      <c r="BH34" s="10"/>
      <c r="BI34" s="10"/>
      <c r="BJ34" s="10"/>
      <c r="BK34" s="10"/>
      <c r="BL34" s="10"/>
    </row>
    <row r="35" spans="2:64" s="8" customFormat="1" ht="13.5" thickBot="1" x14ac:dyDescent="0.25">
      <c r="B35" s="323"/>
      <c r="C35" s="321"/>
      <c r="D35" s="30"/>
      <c r="E35" s="22"/>
      <c r="F35" s="22"/>
      <c r="G35" s="7"/>
      <c r="H35" s="7"/>
      <c r="I35" s="218"/>
      <c r="AR35" s="10"/>
      <c r="AS35" s="10"/>
      <c r="AT35" s="10"/>
      <c r="AU35" s="10"/>
      <c r="AV35" s="10"/>
      <c r="AW35" s="10"/>
      <c r="AX35" s="10"/>
      <c r="AY35" s="10"/>
      <c r="AZ35" s="10"/>
      <c r="BA35" s="10"/>
      <c r="BB35" s="10"/>
      <c r="BC35" s="10"/>
      <c r="BD35" s="10"/>
      <c r="BE35" s="10"/>
      <c r="BF35" s="10"/>
      <c r="BG35" s="10"/>
      <c r="BH35" s="10"/>
      <c r="BI35" s="10"/>
      <c r="BJ35" s="10"/>
      <c r="BK35" s="10"/>
      <c r="BL35" s="10"/>
    </row>
    <row r="36" spans="2:64" s="8" customFormat="1" ht="17.25" thickTop="1" thickBot="1" x14ac:dyDescent="0.25">
      <c r="B36" s="323" t="s">
        <v>281</v>
      </c>
      <c r="C36" s="313" t="s">
        <v>522</v>
      </c>
      <c r="D36" s="30"/>
      <c r="E36" s="23" t="str">
        <f>INDEX('Pick-lists &amp; Defaults'!C14:C16,MATCH(C36,product,0))</f>
        <v>??</v>
      </c>
      <c r="F36" s="274"/>
      <c r="G36" s="23" t="str">
        <f>INDEX('Pick-lists &amp; Defaults'!D14:D16,MATCH(C36,product,0))</f>
        <v>??</v>
      </c>
      <c r="H36" s="7" t="s">
        <v>6</v>
      </c>
      <c r="I36" s="218"/>
      <c r="AR36" s="10"/>
      <c r="AS36" s="10"/>
      <c r="AT36" s="10"/>
      <c r="AU36" s="10"/>
      <c r="AV36" s="10"/>
      <c r="AW36" s="10"/>
      <c r="AX36" s="10"/>
      <c r="AY36" s="10"/>
      <c r="AZ36" s="10"/>
      <c r="BA36" s="10"/>
      <c r="BB36" s="10"/>
      <c r="BC36" s="10"/>
      <c r="BD36" s="10"/>
      <c r="BE36" s="10"/>
      <c r="BF36" s="10"/>
      <c r="BG36" s="10"/>
      <c r="BH36" s="10"/>
      <c r="BI36" s="10"/>
      <c r="BJ36" s="10"/>
      <c r="BK36" s="10"/>
      <c r="BL36" s="10"/>
    </row>
    <row r="37" spans="2:64" s="8" customFormat="1" ht="5.0999999999999996" customHeight="1" thickTop="1" x14ac:dyDescent="0.2">
      <c r="B37" s="217"/>
      <c r="C37" s="321"/>
      <c r="D37" s="30"/>
      <c r="E37" s="22"/>
      <c r="F37" s="22"/>
      <c r="G37" s="7"/>
      <c r="H37" s="7"/>
      <c r="I37" s="218"/>
      <c r="AR37" s="10"/>
      <c r="AS37" s="10"/>
      <c r="AT37" s="10"/>
      <c r="AU37" s="10"/>
      <c r="AV37" s="10"/>
      <c r="AW37" s="10"/>
      <c r="AX37" s="10"/>
      <c r="AY37" s="10"/>
      <c r="AZ37" s="10"/>
      <c r="BA37" s="10"/>
      <c r="BB37" s="10"/>
      <c r="BC37" s="10"/>
      <c r="BD37" s="10"/>
      <c r="BE37" s="10"/>
      <c r="BF37" s="10"/>
      <c r="BG37" s="10"/>
      <c r="BH37" s="10"/>
      <c r="BI37" s="10"/>
      <c r="BJ37" s="10"/>
      <c r="BK37" s="10"/>
      <c r="BL37" s="10"/>
    </row>
    <row r="38" spans="2:64" s="8" customFormat="1" ht="14.25" x14ac:dyDescent="0.2">
      <c r="B38" s="341" t="s">
        <v>897</v>
      </c>
      <c r="C38" s="321"/>
      <c r="D38" s="30"/>
      <c r="E38" s="22" t="s">
        <v>527</v>
      </c>
      <c r="F38" s="274"/>
      <c r="G38" s="19" t="s">
        <v>5</v>
      </c>
      <c r="H38" s="19" t="s">
        <v>6</v>
      </c>
      <c r="I38" s="342"/>
      <c r="AR38" s="10"/>
      <c r="AS38" s="10"/>
      <c r="AT38" s="10"/>
      <c r="AU38" s="10"/>
      <c r="AV38" s="10"/>
      <c r="AW38" s="10"/>
      <c r="AX38" s="10"/>
      <c r="AY38" s="10"/>
      <c r="AZ38" s="10"/>
      <c r="BA38" s="10"/>
      <c r="BB38" s="10"/>
      <c r="BC38" s="10"/>
      <c r="BD38" s="10"/>
      <c r="BE38" s="10"/>
      <c r="BF38" s="10"/>
      <c r="BG38" s="10"/>
      <c r="BH38" s="10"/>
      <c r="BI38" s="10"/>
      <c r="BJ38" s="10"/>
      <c r="BK38" s="10"/>
      <c r="BL38" s="10"/>
    </row>
    <row r="39" spans="2:64" s="8" customFormat="1" ht="5.0999999999999996" customHeight="1" x14ac:dyDescent="0.2">
      <c r="B39" s="217"/>
      <c r="C39" s="321"/>
      <c r="D39" s="30"/>
      <c r="E39" s="22"/>
      <c r="F39" s="22"/>
      <c r="G39" s="19"/>
      <c r="H39" s="19"/>
      <c r="I39" s="342"/>
      <c r="AR39" s="10"/>
      <c r="AS39" s="10"/>
      <c r="AT39" s="10"/>
      <c r="AU39" s="10"/>
      <c r="AV39" s="10"/>
      <c r="AW39" s="10"/>
      <c r="AX39" s="10"/>
      <c r="AY39" s="10"/>
      <c r="AZ39" s="10"/>
      <c r="BA39" s="10"/>
      <c r="BB39" s="10"/>
      <c r="BC39" s="10"/>
      <c r="BD39" s="10"/>
      <c r="BE39" s="10"/>
      <c r="BF39" s="10"/>
      <c r="BG39" s="10"/>
      <c r="BH39" s="10"/>
      <c r="BI39" s="10"/>
      <c r="BJ39" s="10"/>
      <c r="BK39" s="10"/>
      <c r="BL39" s="10"/>
    </row>
    <row r="40" spans="2:64" s="8" customFormat="1" ht="15" x14ac:dyDescent="0.2">
      <c r="B40" s="323" t="s">
        <v>528</v>
      </c>
      <c r="C40" s="321"/>
      <c r="D40" s="30"/>
      <c r="E40" s="22" t="s">
        <v>160</v>
      </c>
      <c r="F40" s="274"/>
      <c r="G40" s="19" t="s">
        <v>32</v>
      </c>
      <c r="H40" s="19" t="s">
        <v>6</v>
      </c>
      <c r="I40" s="342"/>
      <c r="AR40" s="10"/>
      <c r="AS40" s="10"/>
      <c r="AT40" s="10"/>
      <c r="AU40" s="10"/>
      <c r="AV40" s="10"/>
      <c r="AW40" s="10"/>
      <c r="AX40" s="10"/>
      <c r="AY40" s="10"/>
      <c r="AZ40" s="10"/>
      <c r="BA40" s="10"/>
      <c r="BB40" s="10"/>
      <c r="BC40" s="10"/>
      <c r="BD40" s="10"/>
      <c r="BE40" s="10"/>
      <c r="BF40" s="10"/>
      <c r="BG40" s="10"/>
      <c r="BH40" s="10"/>
      <c r="BI40" s="10"/>
      <c r="BJ40" s="10"/>
      <c r="BK40" s="10"/>
      <c r="BL40" s="10"/>
    </row>
    <row r="41" spans="2:64" s="8" customFormat="1" ht="5.0999999999999996" customHeight="1" x14ac:dyDescent="0.2">
      <c r="B41" s="217"/>
      <c r="C41" s="321"/>
      <c r="D41" s="30"/>
      <c r="E41" s="22"/>
      <c r="F41" s="22"/>
      <c r="G41" s="19"/>
      <c r="H41" s="19"/>
      <c r="I41" s="342"/>
      <c r="AR41" s="10"/>
      <c r="AS41" s="10"/>
      <c r="AT41" s="10"/>
      <c r="AU41" s="10"/>
      <c r="AV41" s="10"/>
      <c r="AW41" s="10"/>
      <c r="AX41" s="10"/>
      <c r="AY41" s="10"/>
      <c r="AZ41" s="10"/>
      <c r="BA41" s="10"/>
      <c r="BB41" s="10"/>
      <c r="BC41" s="10"/>
      <c r="BD41" s="10"/>
      <c r="BE41" s="10"/>
      <c r="BF41" s="10"/>
      <c r="BG41" s="10"/>
      <c r="BH41" s="10"/>
      <c r="BI41" s="10"/>
      <c r="BJ41" s="10"/>
      <c r="BK41" s="10"/>
      <c r="BL41" s="10"/>
    </row>
    <row r="42" spans="2:64" s="8" customFormat="1" ht="28.5" x14ac:dyDescent="0.2">
      <c r="B42" s="239" t="s">
        <v>458</v>
      </c>
      <c r="C42" s="321"/>
      <c r="D42" s="30"/>
      <c r="E42" s="22" t="s">
        <v>48</v>
      </c>
      <c r="F42" s="228" t="str">
        <f>IF(AND(E36="Qproduct-solid",ISNUMBER(Qproduct),ISNUMBER(Cai)),Qproduct*Cai, IF(AND(E36="Qproduct-fluid",ISNUMBER(Qproduct),ISNUMBER(Cai),ISNUMBER(RHOproduct)),Qproduct*RHOproduct*Cai/1000,"??"))</f>
        <v>??</v>
      </c>
      <c r="G42" s="19" t="s">
        <v>928</v>
      </c>
      <c r="H42" s="19" t="s">
        <v>8</v>
      </c>
      <c r="I42" s="259" t="s">
        <v>929</v>
      </c>
      <c r="AR42" s="10"/>
      <c r="AS42" s="10"/>
      <c r="AT42" s="10"/>
      <c r="AU42" s="10"/>
      <c r="AV42" s="10"/>
      <c r="AW42" s="10"/>
      <c r="AX42" s="10"/>
      <c r="AY42" s="10"/>
      <c r="AZ42" s="10"/>
      <c r="BA42" s="10"/>
      <c r="BB42" s="10"/>
      <c r="BC42" s="10"/>
      <c r="BD42" s="10"/>
      <c r="BE42" s="10"/>
      <c r="BF42" s="10"/>
      <c r="BG42" s="10"/>
      <c r="BH42" s="10"/>
      <c r="BI42" s="10"/>
      <c r="BJ42" s="10"/>
      <c r="BK42" s="10"/>
      <c r="BL42" s="10"/>
    </row>
    <row r="43" spans="2:64" s="8" customFormat="1" ht="13.5" thickBot="1" x14ac:dyDescent="0.25">
      <c r="B43" s="219"/>
      <c r="C43" s="220"/>
      <c r="D43" s="221"/>
      <c r="E43" s="222"/>
      <c r="F43" s="222"/>
      <c r="G43" s="223"/>
      <c r="H43" s="223"/>
      <c r="I43" s="224"/>
      <c r="AR43" s="10"/>
      <c r="AS43" s="10"/>
      <c r="AT43" s="10"/>
      <c r="AU43" s="10"/>
      <c r="AV43" s="10"/>
      <c r="AW43" s="10"/>
      <c r="AX43" s="10"/>
      <c r="AY43" s="10"/>
      <c r="AZ43" s="10"/>
      <c r="BA43" s="10"/>
      <c r="BB43" s="10"/>
      <c r="BC43" s="10"/>
      <c r="BD43" s="10"/>
      <c r="BE43" s="10"/>
      <c r="BF43" s="10"/>
      <c r="BG43" s="10"/>
      <c r="BH43" s="10"/>
      <c r="BI43" s="10"/>
      <c r="BJ43" s="10"/>
      <c r="BK43" s="10"/>
      <c r="BL43" s="10"/>
    </row>
    <row r="44" spans="2:64" s="8" customFormat="1" ht="13.5" thickBot="1" x14ac:dyDescent="0.25">
      <c r="B44" s="321"/>
      <c r="C44" s="321"/>
      <c r="D44" s="321"/>
      <c r="E44" s="30"/>
      <c r="F44" s="7"/>
      <c r="G44" s="7"/>
      <c r="H44" s="7"/>
      <c r="I44" s="34"/>
      <c r="AR44" s="10"/>
      <c r="AS44" s="10"/>
      <c r="AT44" s="10"/>
      <c r="AU44" s="10"/>
      <c r="AV44" s="10"/>
      <c r="AW44" s="10"/>
      <c r="AX44" s="10"/>
      <c r="AY44" s="10"/>
      <c r="AZ44" s="10"/>
      <c r="BA44" s="10"/>
      <c r="BB44" s="10"/>
      <c r="BC44" s="10"/>
      <c r="BD44" s="10"/>
      <c r="BE44" s="10"/>
      <c r="BF44" s="10"/>
      <c r="BG44" s="10"/>
      <c r="BH44" s="10"/>
      <c r="BI44" s="10"/>
      <c r="BJ44" s="10"/>
      <c r="BK44" s="10"/>
      <c r="BL44" s="10"/>
    </row>
    <row r="45" spans="2:64" s="8" customFormat="1" ht="17.25" thickTop="1" thickBot="1" x14ac:dyDescent="0.25">
      <c r="B45" s="30" t="s">
        <v>954</v>
      </c>
      <c r="C45" s="313" t="s">
        <v>659</v>
      </c>
      <c r="D45" s="30"/>
      <c r="E45" s="22" t="s">
        <v>955</v>
      </c>
      <c r="F45" s="23" t="str">
        <f>INDEX('Pick-lists &amp; Defaults'!C20:C25,MATCH(C45,water_solubility,0))</f>
        <v>??</v>
      </c>
      <c r="G45" s="7" t="s">
        <v>5</v>
      </c>
      <c r="H45" s="7" t="s">
        <v>22</v>
      </c>
      <c r="I45" s="22" t="s">
        <v>138</v>
      </c>
      <c r="AR45" s="10"/>
      <c r="AS45" s="10"/>
      <c r="AT45" s="10"/>
      <c r="AU45" s="10"/>
      <c r="AV45" s="10"/>
      <c r="AW45" s="10"/>
      <c r="AX45" s="10"/>
      <c r="AY45" s="10"/>
      <c r="AZ45" s="10"/>
      <c r="BA45" s="10"/>
      <c r="BB45" s="10"/>
      <c r="BC45" s="10"/>
      <c r="BD45" s="10"/>
      <c r="BE45" s="10"/>
      <c r="BF45" s="10"/>
      <c r="BG45" s="10"/>
      <c r="BH45" s="10"/>
      <c r="BI45" s="10"/>
      <c r="BJ45" s="10"/>
      <c r="BK45" s="10"/>
      <c r="BL45" s="10"/>
    </row>
    <row r="46" spans="2:64" s="8" customFormat="1" ht="5.0999999999999996" customHeight="1" thickTop="1" thickBot="1" x14ac:dyDescent="0.25">
      <c r="B46" s="321"/>
      <c r="C46" s="321"/>
      <c r="D46" s="321"/>
      <c r="E46" s="30"/>
      <c r="F46" s="22"/>
      <c r="G46" s="7"/>
      <c r="H46" s="7"/>
      <c r="I46" s="7"/>
      <c r="AR46" s="10"/>
      <c r="AS46" s="10"/>
      <c r="AT46" s="10"/>
      <c r="AU46" s="10"/>
      <c r="AV46" s="10"/>
      <c r="AW46" s="10"/>
      <c r="AX46" s="10"/>
      <c r="AY46" s="10"/>
      <c r="AZ46" s="10"/>
      <c r="BA46" s="10"/>
      <c r="BB46" s="10"/>
      <c r="BC46" s="10"/>
      <c r="BD46" s="10"/>
      <c r="BE46" s="10"/>
      <c r="BF46" s="10"/>
      <c r="BG46" s="10"/>
      <c r="BH46" s="10"/>
      <c r="BI46" s="10"/>
      <c r="BJ46" s="10"/>
      <c r="BK46" s="10"/>
      <c r="BL46" s="10"/>
    </row>
    <row r="47" spans="2:64" s="8" customFormat="1" ht="27" thickTop="1" thickBot="1" x14ac:dyDescent="0.25">
      <c r="B47" s="321" t="s">
        <v>31</v>
      </c>
      <c r="C47" s="313" t="s">
        <v>61</v>
      </c>
      <c r="D47" s="321"/>
      <c r="E47" s="30" t="s">
        <v>33</v>
      </c>
      <c r="F47" s="23" t="str">
        <f>INDEX('Pick-lists &amp; Defaults'!C29:C35,MATCH(C47,vapour_pressure,0))</f>
        <v>??</v>
      </c>
      <c r="G47" s="7" t="s">
        <v>5</v>
      </c>
      <c r="H47" s="7" t="s">
        <v>22</v>
      </c>
      <c r="I47" s="321" t="s">
        <v>740</v>
      </c>
      <c r="AR47" s="10"/>
      <c r="AS47" s="10"/>
      <c r="AT47" s="10"/>
      <c r="AU47" s="10"/>
      <c r="AV47" s="10"/>
      <c r="AW47" s="10"/>
      <c r="AX47" s="10"/>
      <c r="AY47" s="10"/>
      <c r="AZ47" s="10"/>
      <c r="BA47" s="10"/>
      <c r="BB47" s="10"/>
      <c r="BC47" s="10"/>
      <c r="BD47" s="10"/>
      <c r="BE47" s="10"/>
      <c r="BF47" s="10"/>
      <c r="BG47" s="10"/>
      <c r="BH47" s="10"/>
      <c r="BI47" s="10"/>
      <c r="BJ47" s="10"/>
      <c r="BK47" s="10"/>
      <c r="BL47" s="10"/>
    </row>
    <row r="48" spans="2:64" s="8" customFormat="1" ht="5.0999999999999996" customHeight="1" thickTop="1" x14ac:dyDescent="0.2">
      <c r="B48" s="321"/>
      <c r="C48" s="321"/>
      <c r="D48" s="321"/>
      <c r="E48" s="30"/>
      <c r="F48" s="7"/>
      <c r="G48" s="7"/>
      <c r="H48" s="7"/>
      <c r="I48" s="7"/>
      <c r="AR48" s="10"/>
      <c r="AS48" s="10"/>
      <c r="AT48" s="10"/>
      <c r="AU48" s="10"/>
      <c r="AV48" s="10"/>
      <c r="AW48" s="10"/>
      <c r="AX48" s="10"/>
      <c r="AY48" s="10"/>
      <c r="AZ48" s="10"/>
      <c r="BA48" s="10"/>
      <c r="BB48" s="10"/>
      <c r="BC48" s="10"/>
      <c r="BD48" s="10"/>
      <c r="BE48" s="10"/>
      <c r="BF48" s="10"/>
      <c r="BG48" s="10"/>
      <c r="BH48" s="10"/>
      <c r="BI48" s="10"/>
      <c r="BJ48" s="10"/>
      <c r="BK48" s="10"/>
      <c r="BL48" s="10"/>
    </row>
    <row r="49" spans="1:64" s="8" customFormat="1" ht="14.25" x14ac:dyDescent="0.2">
      <c r="B49" s="321" t="s">
        <v>119</v>
      </c>
      <c r="C49" s="321"/>
      <c r="D49" s="321"/>
      <c r="E49" s="30" t="s">
        <v>62</v>
      </c>
      <c r="F49" s="273">
        <v>1E-3</v>
      </c>
      <c r="G49" s="7" t="s">
        <v>5</v>
      </c>
      <c r="H49" s="7" t="s">
        <v>13</v>
      </c>
      <c r="I49" s="7"/>
      <c r="AR49" s="10"/>
      <c r="AS49" s="10"/>
      <c r="AT49" s="10"/>
      <c r="AU49" s="10"/>
      <c r="AV49" s="10"/>
      <c r="AW49" s="10"/>
      <c r="AX49" s="10"/>
      <c r="AY49" s="10"/>
      <c r="AZ49" s="10"/>
      <c r="BA49" s="10"/>
      <c r="BB49" s="10"/>
      <c r="BC49" s="10"/>
      <c r="BD49" s="10"/>
      <c r="BE49" s="10"/>
      <c r="BF49" s="10"/>
      <c r="BG49" s="10"/>
      <c r="BH49" s="10"/>
      <c r="BI49" s="10"/>
      <c r="BJ49" s="10"/>
      <c r="BK49" s="10"/>
      <c r="BL49" s="10"/>
    </row>
    <row r="50" spans="1:64" s="8" customFormat="1" x14ac:dyDescent="0.2">
      <c r="B50" s="321"/>
      <c r="C50" s="321"/>
      <c r="D50" s="321"/>
      <c r="E50" s="30"/>
      <c r="F50" s="22"/>
      <c r="G50" s="7"/>
      <c r="H50" s="7"/>
      <c r="I50" s="7"/>
      <c r="AR50" s="10"/>
      <c r="AS50" s="10"/>
      <c r="AT50" s="10"/>
      <c r="AU50" s="10"/>
      <c r="AV50" s="10"/>
      <c r="AW50" s="10"/>
      <c r="AX50" s="10"/>
      <c r="AY50" s="10"/>
      <c r="AZ50" s="10"/>
      <c r="BA50" s="10"/>
      <c r="BB50" s="10"/>
      <c r="BC50" s="10"/>
      <c r="BD50" s="10"/>
      <c r="BE50" s="10"/>
      <c r="BF50" s="10"/>
      <c r="BG50" s="10"/>
      <c r="BH50" s="10"/>
      <c r="BI50" s="10"/>
      <c r="BJ50" s="10"/>
      <c r="BK50" s="10"/>
      <c r="BL50" s="10"/>
    </row>
    <row r="51" spans="1:64" ht="15" x14ac:dyDescent="0.2">
      <c r="A51" s="10"/>
      <c r="B51" s="4" t="s">
        <v>1</v>
      </c>
      <c r="C51" s="4"/>
      <c r="D51" s="4"/>
      <c r="E51" s="4"/>
      <c r="F51" s="12"/>
      <c r="G51" s="12"/>
      <c r="H51" s="12"/>
      <c r="I51" s="12"/>
    </row>
    <row r="52" spans="1:64" x14ac:dyDescent="0.2">
      <c r="A52" s="10"/>
      <c r="B52" s="6"/>
      <c r="C52" s="6"/>
      <c r="D52" s="6"/>
      <c r="E52" s="6"/>
      <c r="F52" s="6"/>
      <c r="G52" s="6"/>
      <c r="H52" s="6"/>
      <c r="I52" s="6"/>
    </row>
    <row r="53" spans="1:64" ht="15" x14ac:dyDescent="0.2">
      <c r="A53" s="10"/>
      <c r="B53" s="14" t="s">
        <v>2</v>
      </c>
      <c r="C53" s="14"/>
      <c r="D53" s="14"/>
      <c r="E53" s="15" t="s">
        <v>4</v>
      </c>
      <c r="F53" s="16" t="s">
        <v>7</v>
      </c>
      <c r="G53" s="16" t="s">
        <v>3</v>
      </c>
      <c r="H53" s="16" t="s">
        <v>11</v>
      </c>
      <c r="I53" s="15" t="s">
        <v>34</v>
      </c>
    </row>
    <row r="54" spans="1:64" x14ac:dyDescent="0.2">
      <c r="A54" s="10"/>
      <c r="B54" s="17"/>
      <c r="C54" s="17"/>
      <c r="D54" s="17"/>
      <c r="E54" s="17"/>
      <c r="F54" s="17"/>
      <c r="G54" s="17"/>
      <c r="H54" s="17"/>
      <c r="I54" s="22"/>
    </row>
    <row r="55" spans="1:64" s="8" customFormat="1" ht="15" x14ac:dyDescent="0.2">
      <c r="A55" s="10"/>
      <c r="B55" s="362" t="s">
        <v>951</v>
      </c>
      <c r="C55" s="362"/>
      <c r="D55" s="362"/>
      <c r="E55" s="30" t="s">
        <v>63</v>
      </c>
      <c r="F55" s="228" t="str">
        <f>IF(AND(ISNUMBER(AREAwood_treated),ISNUMBER(Qai),ISNUMBER(F_air)),Qai*AREAwood_treated*(F_air+Fdrift),"??")</f>
        <v>??</v>
      </c>
      <c r="G55" s="7" t="s">
        <v>21</v>
      </c>
      <c r="H55" s="7" t="s">
        <v>8</v>
      </c>
      <c r="I55" s="20" t="s">
        <v>64</v>
      </c>
      <c r="AR55" s="10"/>
      <c r="AS55" s="10"/>
      <c r="AT55" s="10"/>
      <c r="AU55" s="10"/>
      <c r="AV55" s="10"/>
      <c r="AW55" s="10"/>
      <c r="AX55" s="10"/>
      <c r="AY55" s="10"/>
      <c r="AZ55" s="10"/>
      <c r="BA55" s="10"/>
      <c r="BB55" s="10"/>
      <c r="BC55" s="10"/>
      <c r="BD55" s="10"/>
      <c r="BE55" s="10"/>
      <c r="BF55" s="10"/>
      <c r="BG55" s="10"/>
      <c r="BH55" s="10"/>
      <c r="BI55" s="10"/>
      <c r="BJ55" s="10"/>
      <c r="BK55" s="10"/>
      <c r="BL55" s="10"/>
    </row>
    <row r="56" spans="1:64" s="8" customFormat="1" ht="5.0999999999999996" customHeight="1" x14ac:dyDescent="0.2">
      <c r="A56" s="10"/>
      <c r="B56" s="321"/>
      <c r="C56" s="321"/>
      <c r="D56" s="321"/>
      <c r="E56" s="30"/>
      <c r="F56" s="30"/>
      <c r="G56" s="7"/>
      <c r="H56" s="7"/>
      <c r="I56" s="20"/>
      <c r="AR56" s="10"/>
      <c r="AS56" s="10"/>
      <c r="AT56" s="10"/>
      <c r="AU56" s="10"/>
      <c r="AV56" s="10"/>
      <c r="AW56" s="10"/>
      <c r="AX56" s="10"/>
      <c r="AY56" s="10"/>
      <c r="AZ56" s="10"/>
      <c r="BA56" s="10"/>
      <c r="BB56" s="10"/>
      <c r="BC56" s="10"/>
      <c r="BD56" s="10"/>
      <c r="BE56" s="10"/>
      <c r="BF56" s="10"/>
      <c r="BG56" s="10"/>
      <c r="BH56" s="10"/>
      <c r="BI56" s="10"/>
      <c r="BJ56" s="10"/>
      <c r="BK56" s="10"/>
      <c r="BL56" s="10"/>
    </row>
    <row r="57" spans="1:64" s="8" customFormat="1" ht="15" x14ac:dyDescent="0.2">
      <c r="A57" s="10"/>
      <c r="B57" s="362" t="s">
        <v>952</v>
      </c>
      <c r="C57" s="362"/>
      <c r="D57" s="321"/>
      <c r="E57" s="30" t="s">
        <v>953</v>
      </c>
      <c r="F57" s="228" t="str">
        <f>IF(AND(ISNUMBER(AREAwood_treated),ISNUMBER(Qai),ISNUMBER(F_facilitydrain)),Qai*AREAwood_treated*F_facilitydrain,"??")</f>
        <v>??</v>
      </c>
      <c r="G57" s="7" t="s">
        <v>21</v>
      </c>
      <c r="H57" s="7" t="s">
        <v>8</v>
      </c>
      <c r="I57" s="141" t="s">
        <v>956</v>
      </c>
      <c r="AR57" s="10"/>
      <c r="AS57" s="10"/>
      <c r="AT57" s="10"/>
      <c r="AU57" s="10"/>
      <c r="AV57" s="10"/>
      <c r="AW57" s="10"/>
      <c r="AX57" s="10"/>
      <c r="AY57" s="10"/>
      <c r="AZ57" s="10"/>
      <c r="BA57" s="10"/>
      <c r="BB57" s="10"/>
      <c r="BC57" s="10"/>
      <c r="BD57" s="10"/>
      <c r="BE57" s="10"/>
      <c r="BF57" s="10"/>
      <c r="BG57" s="10"/>
      <c r="BH57" s="10"/>
      <c r="BI57" s="10"/>
      <c r="BJ57" s="10"/>
      <c r="BK57" s="10"/>
      <c r="BL57" s="10"/>
    </row>
    <row r="58" spans="1:64" s="8" customFormat="1" x14ac:dyDescent="0.2">
      <c r="A58" s="10"/>
      <c r="B58" s="321"/>
      <c r="C58" s="321"/>
      <c r="D58" s="321"/>
      <c r="E58" s="30"/>
      <c r="F58" s="30"/>
      <c r="G58" s="7"/>
      <c r="H58" s="7"/>
      <c r="I58" s="20"/>
      <c r="AR58" s="10"/>
      <c r="AS58" s="10"/>
      <c r="AT58" s="10"/>
      <c r="AU58" s="10"/>
      <c r="AV58" s="10"/>
      <c r="AW58" s="10"/>
      <c r="AX58" s="10"/>
      <c r="AY58" s="10"/>
      <c r="AZ58" s="10"/>
      <c r="BA58" s="10"/>
      <c r="BB58" s="10"/>
      <c r="BC58" s="10"/>
      <c r="BD58" s="10"/>
      <c r="BE58" s="10"/>
      <c r="BF58" s="10"/>
      <c r="BG58" s="10"/>
      <c r="BH58" s="10"/>
      <c r="BI58" s="10"/>
      <c r="BJ58" s="10"/>
      <c r="BK58" s="10"/>
      <c r="BL58" s="10"/>
    </row>
    <row r="59" spans="1:64" s="8" customFormat="1" x14ac:dyDescent="0.2">
      <c r="B59" s="86" t="s">
        <v>12</v>
      </c>
      <c r="G59" s="74"/>
      <c r="H59" s="74"/>
      <c r="I59" s="85"/>
      <c r="AR59" s="10"/>
      <c r="AS59" s="10"/>
      <c r="AT59" s="10"/>
      <c r="AU59" s="10"/>
      <c r="AV59" s="10"/>
      <c r="AW59" s="10"/>
      <c r="AX59" s="10"/>
      <c r="AY59" s="10"/>
      <c r="AZ59" s="10"/>
      <c r="BA59" s="10"/>
      <c r="BB59" s="10"/>
      <c r="BC59" s="10"/>
      <c r="BD59" s="10"/>
      <c r="BE59" s="10"/>
      <c r="BF59" s="10"/>
      <c r="BG59" s="10"/>
      <c r="BH59" s="10"/>
      <c r="BI59" s="10"/>
      <c r="BJ59" s="10"/>
      <c r="BK59" s="10"/>
      <c r="BL59" s="10"/>
    </row>
    <row r="60" spans="1:64" s="8" customFormat="1" ht="14.25" x14ac:dyDescent="0.2">
      <c r="B60" s="86"/>
      <c r="C60" s="142"/>
      <c r="D60" s="143"/>
      <c r="E60" s="143"/>
      <c r="F60" s="144"/>
      <c r="G60" s="145"/>
      <c r="H60" s="74"/>
      <c r="I60" s="85"/>
      <c r="AR60" s="10"/>
      <c r="AS60" s="10"/>
      <c r="AT60" s="10"/>
      <c r="AU60" s="10"/>
      <c r="AV60" s="10"/>
      <c r="AW60" s="10"/>
      <c r="AX60" s="10"/>
      <c r="AY60" s="10"/>
      <c r="AZ60" s="10"/>
      <c r="BA60" s="10"/>
      <c r="BB60" s="10"/>
      <c r="BC60" s="10"/>
      <c r="BD60" s="10"/>
      <c r="BE60" s="10"/>
      <c r="BF60" s="10"/>
      <c r="BG60" s="10"/>
      <c r="BH60" s="10"/>
      <c r="BI60" s="10"/>
      <c r="BJ60" s="10"/>
      <c r="BK60" s="10"/>
      <c r="BL60" s="10"/>
    </row>
    <row r="61" spans="1:64" s="8" customFormat="1" ht="14.25" x14ac:dyDescent="0.2">
      <c r="B61" s="307" t="s">
        <v>818</v>
      </c>
      <c r="C61" s="142"/>
      <c r="D61" s="143"/>
      <c r="E61" s="143"/>
      <c r="F61" s="144"/>
      <c r="G61" s="145"/>
      <c r="H61" s="74"/>
      <c r="I61" s="85"/>
      <c r="AR61" s="10"/>
      <c r="AS61" s="10"/>
      <c r="AT61" s="10"/>
      <c r="AU61" s="10"/>
      <c r="AV61" s="10"/>
      <c r="AW61" s="10"/>
      <c r="AX61" s="10"/>
      <c r="AY61" s="10"/>
      <c r="AZ61" s="10"/>
      <c r="BA61" s="10"/>
      <c r="BB61" s="10"/>
      <c r="BC61" s="10"/>
      <c r="BD61" s="10"/>
      <c r="BE61" s="10"/>
      <c r="BF61" s="10"/>
      <c r="BG61" s="10"/>
      <c r="BH61" s="10"/>
      <c r="BI61" s="10"/>
      <c r="BJ61" s="10"/>
      <c r="BK61" s="10"/>
      <c r="BL61" s="10"/>
    </row>
    <row r="62" spans="1:64" s="8" customFormat="1" ht="14.25" x14ac:dyDescent="0.2">
      <c r="B62" s="73"/>
      <c r="C62" s="142"/>
      <c r="D62" s="143"/>
      <c r="E62" s="143"/>
      <c r="F62" s="144"/>
      <c r="G62" s="145"/>
      <c r="H62" s="74"/>
      <c r="I62" s="85"/>
      <c r="AR62" s="10"/>
      <c r="AS62" s="10"/>
      <c r="AT62" s="10"/>
      <c r="AU62" s="10"/>
      <c r="AV62" s="10"/>
      <c r="AW62" s="10"/>
      <c r="AX62" s="10"/>
      <c r="AY62" s="10"/>
      <c r="AZ62" s="10"/>
      <c r="BA62" s="10"/>
      <c r="BB62" s="10"/>
      <c r="BC62" s="10"/>
      <c r="BD62" s="10"/>
      <c r="BE62" s="10"/>
      <c r="BF62" s="10"/>
      <c r="BG62" s="10"/>
      <c r="BH62" s="10"/>
      <c r="BI62" s="10"/>
      <c r="BJ62" s="10"/>
      <c r="BK62" s="10"/>
      <c r="BL62" s="10"/>
    </row>
    <row r="63" spans="1:64" s="8" customFormat="1" x14ac:dyDescent="0.2">
      <c r="G63" s="89"/>
      <c r="H63" s="74"/>
      <c r="I63" s="85"/>
      <c r="AR63" s="10"/>
      <c r="AS63" s="10"/>
      <c r="AT63" s="10"/>
      <c r="AU63" s="10"/>
      <c r="AV63" s="10"/>
      <c r="AW63" s="10"/>
      <c r="AX63" s="10"/>
      <c r="AY63" s="10"/>
      <c r="AZ63" s="10"/>
      <c r="BA63" s="10"/>
      <c r="BB63" s="10"/>
      <c r="BC63" s="10"/>
      <c r="BD63" s="10"/>
      <c r="BE63" s="10"/>
      <c r="BF63" s="10"/>
      <c r="BG63" s="10"/>
      <c r="BH63" s="10"/>
      <c r="BI63" s="10"/>
      <c r="BJ63" s="10"/>
      <c r="BK63" s="10"/>
      <c r="BL63" s="10"/>
    </row>
    <row r="64" spans="1:64" s="8" customFormat="1" ht="33" customHeight="1" x14ac:dyDescent="0.2">
      <c r="B64" s="367" t="s">
        <v>551</v>
      </c>
      <c r="C64" s="367"/>
      <c r="D64" s="367"/>
      <c r="E64" s="367"/>
      <c r="F64" s="367"/>
      <c r="G64" s="367"/>
      <c r="H64" s="367"/>
      <c r="I64" s="367"/>
      <c r="AR64" s="10"/>
      <c r="AS64" s="10"/>
      <c r="AT64" s="10"/>
      <c r="AU64" s="10"/>
      <c r="AV64" s="10"/>
      <c r="AW64" s="10"/>
      <c r="AX64" s="10"/>
      <c r="AY64" s="10"/>
      <c r="AZ64" s="10"/>
      <c r="BA64" s="10"/>
      <c r="BB64" s="10"/>
      <c r="BC64" s="10"/>
      <c r="BD64" s="10"/>
      <c r="BE64" s="10"/>
      <c r="BF64" s="10"/>
      <c r="BG64" s="10"/>
      <c r="BH64" s="10"/>
      <c r="BI64" s="10"/>
      <c r="BJ64" s="10"/>
      <c r="BK64" s="10"/>
      <c r="BL64" s="10"/>
    </row>
    <row r="65" spans="1:64" s="8" customFormat="1" ht="15" x14ac:dyDescent="0.2">
      <c r="B65" s="90"/>
      <c r="C65" s="80"/>
      <c r="G65" s="89"/>
      <c r="H65" s="74"/>
      <c r="I65" s="85"/>
      <c r="AR65" s="10"/>
      <c r="AS65" s="10"/>
      <c r="AT65" s="10"/>
      <c r="AU65" s="10"/>
      <c r="AV65" s="10"/>
      <c r="AW65" s="10"/>
      <c r="AX65" s="10"/>
      <c r="AY65" s="10"/>
      <c r="AZ65" s="10"/>
      <c r="BA65" s="10"/>
      <c r="BB65" s="10"/>
      <c r="BC65" s="10"/>
      <c r="BD65" s="10"/>
      <c r="BE65" s="10"/>
      <c r="BF65" s="10"/>
      <c r="BG65" s="10"/>
      <c r="BH65" s="10"/>
      <c r="BI65" s="10"/>
      <c r="BJ65" s="10"/>
      <c r="BK65" s="10"/>
      <c r="BL65" s="10"/>
    </row>
    <row r="66" spans="1:64" x14ac:dyDescent="0.2">
      <c r="A66" s="10"/>
      <c r="B66" s="82" t="s">
        <v>19</v>
      </c>
      <c r="C66" s="82"/>
      <c r="D66" s="82"/>
      <c r="E66" s="77"/>
      <c r="F66" s="77"/>
      <c r="G66" s="77"/>
      <c r="H66" s="77"/>
      <c r="I66" s="83"/>
    </row>
    <row r="67" spans="1:64" ht="15" customHeight="1" x14ac:dyDescent="0.2">
      <c r="A67" s="10"/>
      <c r="B67" s="366" t="s">
        <v>113</v>
      </c>
      <c r="C67" s="366"/>
      <c r="D67" s="366"/>
      <c r="E67" s="366"/>
      <c r="F67" s="366"/>
      <c r="G67" s="366"/>
      <c r="H67" s="366"/>
      <c r="I67" s="366"/>
    </row>
    <row r="68" spans="1:64" ht="15" customHeight="1" x14ac:dyDescent="0.2">
      <c r="A68" s="10"/>
      <c r="B68" s="366" t="s">
        <v>531</v>
      </c>
      <c r="C68" s="366"/>
      <c r="D68" s="366"/>
      <c r="E68" s="366"/>
      <c r="F68" s="366"/>
      <c r="G68" s="366"/>
      <c r="H68" s="366"/>
      <c r="I68" s="366"/>
    </row>
    <row r="69" spans="1:64" ht="15" customHeight="1" x14ac:dyDescent="0.2">
      <c r="A69" s="10"/>
      <c r="B69" s="366" t="s">
        <v>788</v>
      </c>
      <c r="C69" s="366"/>
      <c r="D69" s="366"/>
      <c r="E69" s="366"/>
      <c r="F69" s="366"/>
      <c r="G69" s="366"/>
      <c r="H69" s="366"/>
      <c r="I69" s="366"/>
      <c r="J69" s="10"/>
      <c r="K69" s="10"/>
      <c r="L69" s="10"/>
      <c r="M69" s="10"/>
      <c r="N69" s="10"/>
      <c r="O69" s="10"/>
      <c r="P69" s="10"/>
    </row>
    <row r="70" spans="1:64" ht="30" customHeight="1" x14ac:dyDescent="0.2">
      <c r="A70" s="10"/>
      <c r="B70" s="366" t="s">
        <v>782</v>
      </c>
      <c r="C70" s="366"/>
      <c r="D70" s="366"/>
      <c r="E70" s="366"/>
      <c r="F70" s="366"/>
      <c r="G70" s="366"/>
      <c r="H70" s="366"/>
      <c r="I70" s="366"/>
    </row>
    <row r="71" spans="1:64" s="8" customFormat="1" ht="3" customHeight="1" x14ac:dyDescent="0.2">
      <c r="A71" s="10"/>
      <c r="D71" s="31"/>
      <c r="E71" s="32"/>
      <c r="F71" s="84"/>
      <c r="G71" s="84"/>
      <c r="H71" s="84"/>
      <c r="I71" s="10"/>
      <c r="J71" s="10"/>
      <c r="K71" s="10"/>
      <c r="AR71" s="10"/>
      <c r="AS71" s="10"/>
      <c r="AT71" s="10"/>
      <c r="AU71" s="10"/>
      <c r="AV71" s="10"/>
      <c r="AW71" s="10"/>
      <c r="AX71" s="10"/>
      <c r="AY71" s="10"/>
      <c r="AZ71" s="10"/>
      <c r="BA71" s="10"/>
      <c r="BB71" s="10"/>
      <c r="BC71" s="10"/>
      <c r="BD71" s="10"/>
      <c r="BE71" s="10"/>
      <c r="BF71" s="10"/>
      <c r="BG71" s="10"/>
      <c r="BH71" s="10"/>
      <c r="BI71" s="10"/>
      <c r="BJ71" s="10"/>
      <c r="BK71" s="10"/>
      <c r="BL71" s="10"/>
    </row>
    <row r="72" spans="1:64" ht="15" x14ac:dyDescent="0.2">
      <c r="A72" s="10"/>
      <c r="B72" s="4" t="s">
        <v>0</v>
      </c>
      <c r="C72" s="4"/>
      <c r="D72" s="4"/>
      <c r="E72" s="12"/>
      <c r="F72" s="12"/>
      <c r="G72" s="12"/>
      <c r="H72" s="12"/>
      <c r="I72" s="13"/>
    </row>
    <row r="73" spans="1:64" x14ac:dyDescent="0.2">
      <c r="A73" s="10"/>
      <c r="B73" s="6"/>
      <c r="C73" s="6"/>
      <c r="D73" s="6"/>
      <c r="E73" s="6"/>
      <c r="F73" s="6"/>
      <c r="G73" s="6"/>
      <c r="H73" s="6"/>
      <c r="I73" s="22"/>
    </row>
    <row r="74" spans="1:64" ht="15" x14ac:dyDescent="0.2">
      <c r="A74" s="10"/>
      <c r="B74" s="14" t="s">
        <v>2</v>
      </c>
      <c r="C74" s="14"/>
      <c r="D74" s="14"/>
      <c r="E74" s="15" t="s">
        <v>4</v>
      </c>
      <c r="F74" s="16" t="s">
        <v>7</v>
      </c>
      <c r="G74" s="16" t="s">
        <v>3</v>
      </c>
      <c r="H74" s="16" t="s">
        <v>11</v>
      </c>
      <c r="I74" s="15" t="s">
        <v>34</v>
      </c>
    </row>
    <row r="75" spans="1:64" x14ac:dyDescent="0.2">
      <c r="A75" s="10"/>
      <c r="B75" s="321"/>
      <c r="C75" s="14"/>
      <c r="D75" s="14"/>
      <c r="E75" s="15"/>
      <c r="F75" s="16"/>
      <c r="G75" s="16"/>
      <c r="H75" s="16"/>
      <c r="I75" s="15"/>
    </row>
    <row r="76" spans="1:64" ht="30.75" customHeight="1" x14ac:dyDescent="0.2">
      <c r="A76" s="10"/>
      <c r="B76" s="362" t="s">
        <v>65</v>
      </c>
      <c r="C76" s="362"/>
      <c r="D76" s="14"/>
      <c r="E76" s="30" t="s">
        <v>66</v>
      </c>
      <c r="F76" s="272">
        <v>11</v>
      </c>
      <c r="G76" s="7" t="s">
        <v>67</v>
      </c>
      <c r="H76" s="7" t="str">
        <f>IF(AREAwood_expo=11,"D","S")</f>
        <v>D</v>
      </c>
      <c r="I76" s="15"/>
    </row>
    <row r="77" spans="1:64" ht="5.0999999999999996" customHeight="1" thickBot="1" x14ac:dyDescent="0.25">
      <c r="A77" s="10"/>
      <c r="B77" s="321"/>
      <c r="C77" s="14"/>
      <c r="D77" s="14"/>
      <c r="E77" s="15"/>
      <c r="F77" s="16"/>
      <c r="G77" s="7"/>
      <c r="H77" s="7"/>
      <c r="I77" s="15"/>
    </row>
    <row r="78" spans="1:64" s="8" customFormat="1" ht="27" thickTop="1" thickBot="1" x14ac:dyDescent="0.25">
      <c r="B78" s="321" t="s">
        <v>70</v>
      </c>
      <c r="C78" s="313" t="s">
        <v>43</v>
      </c>
      <c r="D78" s="321"/>
      <c r="E78" s="30" t="s">
        <v>71</v>
      </c>
      <c r="F78" s="23" t="str">
        <f>INDEX('Pick-lists &amp; Defaults'!D8:D10,MATCH(C78,plant_size,0))</f>
        <v>??</v>
      </c>
      <c r="G78" s="7" t="s">
        <v>14</v>
      </c>
      <c r="H78" s="7" t="s">
        <v>20</v>
      </c>
      <c r="I78" s="22" t="s">
        <v>139</v>
      </c>
      <c r="AR78" s="10"/>
      <c r="AS78" s="10"/>
      <c r="AT78" s="10"/>
      <c r="AU78" s="10"/>
      <c r="AV78" s="10"/>
      <c r="AW78" s="10"/>
      <c r="AX78" s="10"/>
      <c r="AY78" s="10"/>
      <c r="AZ78" s="10"/>
      <c r="BA78" s="10"/>
      <c r="BB78" s="10"/>
      <c r="BC78" s="10"/>
      <c r="BD78" s="10"/>
      <c r="BE78" s="10"/>
      <c r="BF78" s="10"/>
      <c r="BG78" s="10"/>
      <c r="BH78" s="10"/>
      <c r="BI78" s="10"/>
      <c r="BJ78" s="10"/>
      <c r="BK78" s="10"/>
      <c r="BL78" s="10"/>
    </row>
    <row r="79" spans="1:64" s="8" customFormat="1" ht="5.0999999999999996" customHeight="1" thickTop="1" x14ac:dyDescent="0.2">
      <c r="B79" s="321"/>
      <c r="C79" s="321"/>
      <c r="D79" s="321"/>
      <c r="E79" s="30"/>
      <c r="F79" s="7"/>
      <c r="G79" s="7"/>
      <c r="H79" s="7"/>
      <c r="I79" s="7"/>
      <c r="AR79" s="10"/>
      <c r="AS79" s="10"/>
      <c r="AT79" s="10"/>
      <c r="AU79" s="10"/>
      <c r="AV79" s="10"/>
      <c r="AW79" s="10"/>
      <c r="AX79" s="10"/>
      <c r="AY79" s="10"/>
      <c r="AZ79" s="10"/>
      <c r="BA79" s="10"/>
      <c r="BB79" s="10"/>
      <c r="BC79" s="10"/>
      <c r="BD79" s="10"/>
      <c r="BE79" s="10"/>
      <c r="BF79" s="10"/>
      <c r="BG79" s="10"/>
      <c r="BH79" s="10"/>
      <c r="BI79" s="10"/>
      <c r="BJ79" s="10"/>
      <c r="BK79" s="10"/>
      <c r="BL79" s="10"/>
    </row>
    <row r="80" spans="1:64" s="8" customFormat="1" x14ac:dyDescent="0.2">
      <c r="B80" s="362" t="s">
        <v>72</v>
      </c>
      <c r="C80" s="362"/>
      <c r="D80" s="34"/>
      <c r="E80" s="321" t="s">
        <v>73</v>
      </c>
      <c r="F80" s="273">
        <v>30</v>
      </c>
      <c r="G80" s="7" t="s">
        <v>10</v>
      </c>
      <c r="H80" s="7" t="str">
        <f>IF(TIME1=30,"D","S")</f>
        <v>D</v>
      </c>
      <c r="I80" s="34"/>
      <c r="AR80" s="10"/>
      <c r="AS80" s="10"/>
      <c r="AT80" s="10"/>
      <c r="AU80" s="10"/>
      <c r="AV80" s="10"/>
      <c r="AW80" s="10"/>
      <c r="AX80" s="10"/>
      <c r="AY80" s="10"/>
      <c r="AZ80" s="10"/>
      <c r="BA80" s="10"/>
      <c r="BB80" s="10"/>
      <c r="BC80" s="10"/>
      <c r="BD80" s="10"/>
      <c r="BE80" s="10"/>
      <c r="BF80" s="10"/>
      <c r="BG80" s="10"/>
      <c r="BH80" s="10"/>
      <c r="BI80" s="10"/>
      <c r="BJ80" s="10"/>
      <c r="BK80" s="10"/>
      <c r="BL80" s="10"/>
    </row>
    <row r="81" spans="2:64" s="8" customFormat="1" ht="5.0999999999999996" customHeight="1" x14ac:dyDescent="0.2">
      <c r="B81" s="362"/>
      <c r="C81" s="362"/>
      <c r="D81" s="34"/>
      <c r="E81" s="22"/>
      <c r="F81" s="273"/>
      <c r="G81" s="19"/>
      <c r="H81" s="7"/>
      <c r="I81" s="34"/>
      <c r="AR81" s="10"/>
      <c r="AS81" s="10"/>
      <c r="AT81" s="10"/>
      <c r="AU81" s="10"/>
      <c r="AV81" s="10"/>
      <c r="AW81" s="10"/>
      <c r="AX81" s="10"/>
      <c r="AY81" s="10"/>
      <c r="AZ81" s="10"/>
      <c r="BA81" s="10"/>
      <c r="BB81" s="10"/>
      <c r="BC81" s="10"/>
      <c r="BD81" s="10"/>
      <c r="BE81" s="10"/>
      <c r="BF81" s="10"/>
      <c r="BG81" s="10"/>
      <c r="BH81" s="10"/>
      <c r="BI81" s="10"/>
      <c r="BJ81" s="10"/>
      <c r="BK81" s="10"/>
      <c r="BL81" s="10"/>
    </row>
    <row r="82" spans="2:64" s="8" customFormat="1" ht="30" customHeight="1" x14ac:dyDescent="0.2">
      <c r="B82" s="362" t="s">
        <v>74</v>
      </c>
      <c r="C82" s="362"/>
      <c r="D82" s="34"/>
      <c r="E82" s="22" t="s">
        <v>75</v>
      </c>
      <c r="F82" s="273">
        <v>7300</v>
      </c>
      <c r="G82" s="19" t="s">
        <v>10</v>
      </c>
      <c r="H82" s="7" t="str">
        <f>IF(TIME2=7300,"D","S")</f>
        <v>D</v>
      </c>
      <c r="I82" s="146" t="s">
        <v>459</v>
      </c>
      <c r="AR82" s="10"/>
      <c r="AS82" s="10"/>
      <c r="AT82" s="10"/>
      <c r="AU82" s="10"/>
      <c r="AV82" s="10"/>
      <c r="AW82" s="10"/>
      <c r="AX82" s="10"/>
      <c r="AY82" s="10"/>
      <c r="AZ82" s="10"/>
      <c r="BA82" s="10"/>
      <c r="BB82" s="10"/>
      <c r="BC82" s="10"/>
      <c r="BD82" s="10"/>
      <c r="BE82" s="10"/>
      <c r="BF82" s="10"/>
      <c r="BG82" s="10"/>
      <c r="BH82" s="10"/>
      <c r="BI82" s="10"/>
      <c r="BJ82" s="10"/>
      <c r="BK82" s="10"/>
      <c r="BL82" s="10"/>
    </row>
    <row r="83" spans="2:64" s="8" customFormat="1" ht="5.0999999999999996" customHeight="1" x14ac:dyDescent="0.2">
      <c r="B83" s="321"/>
      <c r="C83" s="321"/>
      <c r="D83" s="34"/>
      <c r="E83" s="22"/>
      <c r="F83" s="273"/>
      <c r="G83" s="19"/>
      <c r="H83" s="7"/>
      <c r="I83" s="34"/>
      <c r="AR83" s="10"/>
      <c r="AS83" s="10"/>
      <c r="AT83" s="10"/>
      <c r="AU83" s="10"/>
      <c r="AV83" s="10"/>
      <c r="AW83" s="10"/>
      <c r="AX83" s="10"/>
      <c r="AY83" s="10"/>
      <c r="AZ83" s="10"/>
      <c r="BA83" s="10"/>
      <c r="BB83" s="10"/>
      <c r="BC83" s="10"/>
      <c r="BD83" s="10"/>
      <c r="BE83" s="10"/>
      <c r="BF83" s="10"/>
      <c r="BG83" s="10"/>
      <c r="BH83" s="10"/>
      <c r="BI83" s="10"/>
      <c r="BJ83" s="10"/>
      <c r="BK83" s="10"/>
      <c r="BL83" s="10"/>
    </row>
    <row r="84" spans="2:64" s="8" customFormat="1" ht="30.75" customHeight="1" x14ac:dyDescent="0.2">
      <c r="B84" s="362" t="s">
        <v>123</v>
      </c>
      <c r="C84" s="362"/>
      <c r="D84" s="34"/>
      <c r="E84" s="22" t="s">
        <v>76</v>
      </c>
      <c r="F84" s="274"/>
      <c r="G84" s="19" t="s">
        <v>77</v>
      </c>
      <c r="H84" s="7" t="s">
        <v>6</v>
      </c>
      <c r="I84" s="34"/>
      <c r="J84" s="170"/>
      <c r="AR84" s="10"/>
      <c r="AS84" s="10"/>
      <c r="AT84" s="10"/>
      <c r="AU84" s="10"/>
      <c r="AV84" s="10"/>
      <c r="AW84" s="10"/>
      <c r="AX84" s="10"/>
      <c r="AY84" s="10"/>
      <c r="AZ84" s="10"/>
      <c r="BA84" s="10"/>
      <c r="BB84" s="10"/>
      <c r="BC84" s="10"/>
      <c r="BD84" s="10"/>
      <c r="BE84" s="10"/>
      <c r="BF84" s="10"/>
      <c r="BG84" s="10"/>
      <c r="BH84" s="10"/>
      <c r="BI84" s="10"/>
      <c r="BJ84" s="10"/>
      <c r="BK84" s="10"/>
      <c r="BL84" s="10"/>
    </row>
    <row r="85" spans="2:64" s="8" customFormat="1" ht="5.0999999999999996" customHeight="1" x14ac:dyDescent="0.2">
      <c r="B85" s="321"/>
      <c r="C85" s="321"/>
      <c r="D85" s="34"/>
      <c r="E85" s="22"/>
      <c r="F85" s="273"/>
      <c r="G85" s="19"/>
      <c r="H85" s="7"/>
      <c r="I85" s="34"/>
      <c r="AR85" s="10"/>
      <c r="AS85" s="10"/>
      <c r="AT85" s="10"/>
      <c r="AU85" s="10"/>
      <c r="AV85" s="10"/>
      <c r="AW85" s="10"/>
      <c r="AX85" s="10"/>
      <c r="AY85" s="10"/>
      <c r="AZ85" s="10"/>
      <c r="BA85" s="10"/>
      <c r="BB85" s="10"/>
      <c r="BC85" s="10"/>
      <c r="BD85" s="10"/>
      <c r="BE85" s="10"/>
      <c r="BF85" s="10"/>
      <c r="BG85" s="10"/>
      <c r="BH85" s="10"/>
      <c r="BI85" s="10"/>
      <c r="BJ85" s="10"/>
      <c r="BK85" s="10"/>
      <c r="BL85" s="10"/>
    </row>
    <row r="86" spans="2:64" s="8" customFormat="1" ht="15" x14ac:dyDescent="0.2">
      <c r="B86" s="321" t="s">
        <v>25</v>
      </c>
      <c r="C86" s="321"/>
      <c r="D86" s="34"/>
      <c r="E86" s="22" t="s">
        <v>30</v>
      </c>
      <c r="F86" s="273">
        <v>1700</v>
      </c>
      <c r="G86" s="19" t="s">
        <v>32</v>
      </c>
      <c r="H86" s="7" t="str">
        <f>IF(RHOsoil=1700,"D","S")</f>
        <v>D</v>
      </c>
      <c r="I86" s="34"/>
      <c r="AR86" s="10"/>
      <c r="AS86" s="10"/>
      <c r="AT86" s="10"/>
      <c r="AU86" s="10"/>
      <c r="AV86" s="10"/>
      <c r="AW86" s="10"/>
      <c r="AX86" s="10"/>
      <c r="AY86" s="10"/>
      <c r="AZ86" s="10"/>
      <c r="BA86" s="10"/>
      <c r="BB86" s="10"/>
      <c r="BC86" s="10"/>
      <c r="BD86" s="10"/>
      <c r="BE86" s="10"/>
      <c r="BF86" s="10"/>
      <c r="BG86" s="10"/>
      <c r="BH86" s="10"/>
      <c r="BI86" s="10"/>
      <c r="BJ86" s="10"/>
      <c r="BK86" s="10"/>
      <c r="BL86" s="10"/>
    </row>
    <row r="87" spans="2:64" s="8" customFormat="1" ht="5.0999999999999996" customHeight="1" x14ac:dyDescent="0.2">
      <c r="B87" s="321"/>
      <c r="C87" s="321"/>
      <c r="D87" s="34"/>
      <c r="E87" s="22"/>
      <c r="F87" s="273"/>
      <c r="G87" s="19"/>
      <c r="H87" s="7"/>
      <c r="I87" s="34"/>
      <c r="AR87" s="10"/>
      <c r="AS87" s="10"/>
      <c r="AT87" s="10"/>
      <c r="AU87" s="10"/>
      <c r="AV87" s="10"/>
      <c r="AW87" s="10"/>
      <c r="AX87" s="10"/>
      <c r="AY87" s="10"/>
      <c r="AZ87" s="10"/>
      <c r="BA87" s="10"/>
      <c r="BB87" s="10"/>
      <c r="BC87" s="10"/>
      <c r="BD87" s="10"/>
      <c r="BE87" s="10"/>
      <c r="BF87" s="10"/>
      <c r="BG87" s="10"/>
      <c r="BH87" s="10"/>
      <c r="BI87" s="10"/>
      <c r="BJ87" s="10"/>
      <c r="BK87" s="10"/>
      <c r="BL87" s="10"/>
    </row>
    <row r="88" spans="2:64" s="8" customFormat="1" ht="14.25" x14ac:dyDescent="0.2">
      <c r="B88" s="362" t="s">
        <v>78</v>
      </c>
      <c r="C88" s="362"/>
      <c r="D88" s="34"/>
      <c r="E88" s="22" t="s">
        <v>80</v>
      </c>
      <c r="F88" s="273">
        <v>0.5</v>
      </c>
      <c r="G88" s="19" t="s">
        <v>79</v>
      </c>
      <c r="H88" s="7" t="str">
        <f>IF(DEPTHsoil=0.5,"D","S")</f>
        <v>D</v>
      </c>
      <c r="I88" s="34"/>
      <c r="AR88" s="10"/>
      <c r="AS88" s="10"/>
      <c r="AT88" s="10"/>
      <c r="AU88" s="10"/>
      <c r="AV88" s="10"/>
      <c r="AW88" s="10"/>
      <c r="AX88" s="10"/>
      <c r="AY88" s="10"/>
      <c r="AZ88" s="10"/>
      <c r="BA88" s="10"/>
      <c r="BB88" s="10"/>
      <c r="BC88" s="10"/>
      <c r="BD88" s="10"/>
      <c r="BE88" s="10"/>
      <c r="BF88" s="10"/>
      <c r="BG88" s="10"/>
      <c r="BH88" s="10"/>
      <c r="BI88" s="10"/>
      <c r="BJ88" s="10"/>
      <c r="BK88" s="10"/>
      <c r="BL88" s="10"/>
    </row>
    <row r="89" spans="2:64" s="8" customFormat="1" ht="5.0999999999999996" customHeight="1" x14ac:dyDescent="0.2">
      <c r="B89" s="321"/>
      <c r="C89" s="321"/>
      <c r="D89" s="34"/>
      <c r="E89" s="22"/>
      <c r="F89" s="273"/>
      <c r="G89" s="19"/>
      <c r="H89" s="7"/>
      <c r="I89" s="34"/>
      <c r="AR89" s="10"/>
      <c r="AS89" s="10"/>
      <c r="AT89" s="10"/>
      <c r="AU89" s="10"/>
      <c r="AV89" s="10"/>
      <c r="AW89" s="10"/>
      <c r="AX89" s="10"/>
      <c r="AY89" s="10"/>
      <c r="AZ89" s="10"/>
      <c r="BA89" s="10"/>
      <c r="BB89" s="10"/>
      <c r="BC89" s="10"/>
      <c r="BD89" s="10"/>
      <c r="BE89" s="10"/>
      <c r="BF89" s="10"/>
      <c r="BG89" s="10"/>
      <c r="BH89" s="10"/>
      <c r="BI89" s="10"/>
      <c r="BJ89" s="10"/>
      <c r="BK89" s="10"/>
      <c r="BL89" s="10"/>
    </row>
    <row r="90" spans="2:64" s="8" customFormat="1" ht="14.25" x14ac:dyDescent="0.2">
      <c r="B90" s="362" t="s">
        <v>81</v>
      </c>
      <c r="C90" s="362"/>
      <c r="D90" s="34"/>
      <c r="E90" s="22" t="s">
        <v>82</v>
      </c>
      <c r="F90" s="273">
        <v>0.5</v>
      </c>
      <c r="G90" s="19" t="s">
        <v>5</v>
      </c>
      <c r="H90" s="7" t="str">
        <f>IF(Frunoff=0.5,"D","S")</f>
        <v>D</v>
      </c>
      <c r="I90" s="34"/>
      <c r="AR90" s="10"/>
      <c r="AS90" s="10"/>
      <c r="AT90" s="10"/>
      <c r="AU90" s="10"/>
      <c r="AV90" s="10"/>
      <c r="AW90" s="10"/>
      <c r="AX90" s="10"/>
      <c r="AY90" s="10"/>
      <c r="AZ90" s="10"/>
      <c r="BA90" s="10"/>
      <c r="BB90" s="10"/>
      <c r="BC90" s="10"/>
      <c r="BD90" s="10"/>
      <c r="BE90" s="10"/>
      <c r="BF90" s="10"/>
      <c r="BG90" s="10"/>
      <c r="BH90" s="10"/>
      <c r="BI90" s="10"/>
      <c r="BJ90" s="10"/>
      <c r="BK90" s="10"/>
      <c r="BL90" s="10"/>
    </row>
    <row r="91" spans="2:64" s="8" customFormat="1" ht="5.0999999999999996" customHeight="1" x14ac:dyDescent="0.2">
      <c r="B91" s="321"/>
      <c r="C91" s="321"/>
      <c r="D91" s="34"/>
      <c r="E91" s="22"/>
      <c r="F91" s="273"/>
      <c r="G91" s="19"/>
      <c r="H91" s="7"/>
      <c r="I91" s="34"/>
      <c r="AR91" s="10"/>
      <c r="AS91" s="10"/>
      <c r="AT91" s="10"/>
      <c r="AU91" s="10"/>
      <c r="AV91" s="10"/>
      <c r="AW91" s="10"/>
      <c r="AX91" s="10"/>
      <c r="AY91" s="10"/>
      <c r="AZ91" s="10"/>
      <c r="BA91" s="10"/>
      <c r="BB91" s="10"/>
      <c r="BC91" s="10"/>
      <c r="BD91" s="10"/>
      <c r="BE91" s="10"/>
      <c r="BF91" s="10"/>
      <c r="BG91" s="10"/>
      <c r="BH91" s="10"/>
      <c r="BI91" s="10"/>
      <c r="BJ91" s="10"/>
      <c r="BK91" s="10"/>
      <c r="BL91" s="10"/>
    </row>
    <row r="92" spans="2:64" s="8" customFormat="1" ht="27.75" x14ac:dyDescent="0.2">
      <c r="B92" s="362" t="s">
        <v>112</v>
      </c>
      <c r="C92" s="362"/>
      <c r="D92" s="34"/>
      <c r="E92" s="22" t="s">
        <v>27</v>
      </c>
      <c r="F92" s="273">
        <v>25920</v>
      </c>
      <c r="G92" s="19" t="s">
        <v>460</v>
      </c>
      <c r="H92" s="7" t="str">
        <f>IF(FLOWsurfacewater=25920,"D","S")</f>
        <v>D</v>
      </c>
      <c r="I92" s="107" t="s">
        <v>461</v>
      </c>
      <c r="AR92" s="10"/>
      <c r="AS92" s="10"/>
      <c r="AT92" s="10"/>
      <c r="AU92" s="10"/>
      <c r="AV92" s="10"/>
      <c r="AW92" s="10"/>
      <c r="AX92" s="10"/>
      <c r="AY92" s="10"/>
      <c r="AZ92" s="10"/>
      <c r="BA92" s="10"/>
      <c r="BB92" s="10"/>
      <c r="BC92" s="10"/>
      <c r="BD92" s="10"/>
      <c r="BE92" s="10"/>
      <c r="BF92" s="10"/>
      <c r="BG92" s="10"/>
      <c r="BH92" s="10"/>
      <c r="BI92" s="10"/>
      <c r="BJ92" s="10"/>
      <c r="BK92" s="10"/>
      <c r="BL92" s="10"/>
    </row>
    <row r="93" spans="2:64" s="8" customFormat="1" x14ac:dyDescent="0.2">
      <c r="B93" s="321"/>
      <c r="C93" s="321"/>
      <c r="D93" s="34"/>
      <c r="E93" s="22"/>
      <c r="F93" s="7"/>
      <c r="G93" s="19"/>
      <c r="H93" s="7"/>
      <c r="I93" s="107"/>
      <c r="AR93" s="10"/>
      <c r="AS93" s="10"/>
      <c r="AT93" s="10"/>
      <c r="AU93" s="10"/>
      <c r="AV93" s="10"/>
      <c r="AW93" s="10"/>
      <c r="AX93" s="10"/>
      <c r="AY93" s="10"/>
      <c r="AZ93" s="10"/>
      <c r="BA93" s="10"/>
      <c r="BB93" s="10"/>
      <c r="BC93" s="10"/>
      <c r="BD93" s="10"/>
      <c r="BE93" s="10"/>
      <c r="BF93" s="10"/>
      <c r="BG93" s="10"/>
      <c r="BH93" s="10"/>
      <c r="BI93" s="10"/>
      <c r="BJ93" s="10"/>
      <c r="BK93" s="10"/>
      <c r="BL93" s="10"/>
    </row>
    <row r="94" spans="2:64" s="8" customFormat="1" x14ac:dyDescent="0.2">
      <c r="B94" s="365" t="s">
        <v>548</v>
      </c>
      <c r="C94" s="365"/>
      <c r="D94" s="365"/>
      <c r="E94" s="365"/>
      <c r="F94" s="365"/>
      <c r="G94" s="365"/>
      <c r="H94" s="365"/>
      <c r="I94" s="365"/>
      <c r="AR94" s="10"/>
      <c r="AS94" s="10"/>
      <c r="AT94" s="10"/>
      <c r="AU94" s="10"/>
      <c r="AV94" s="10"/>
      <c r="AW94" s="10"/>
      <c r="AX94" s="10"/>
      <c r="AY94" s="10"/>
      <c r="AZ94" s="10"/>
      <c r="BA94" s="10"/>
      <c r="BB94" s="10"/>
      <c r="BC94" s="10"/>
      <c r="BD94" s="10"/>
      <c r="BE94" s="10"/>
      <c r="BF94" s="10"/>
      <c r="BG94" s="10"/>
      <c r="BH94" s="10"/>
      <c r="BI94" s="10"/>
      <c r="BJ94" s="10"/>
      <c r="BK94" s="10"/>
      <c r="BL94" s="10"/>
    </row>
    <row r="95" spans="2:64" s="8" customFormat="1" x14ac:dyDescent="0.2">
      <c r="B95" s="321"/>
      <c r="C95" s="321"/>
      <c r="D95" s="34"/>
      <c r="E95" s="22"/>
      <c r="F95" s="7"/>
      <c r="G95" s="19"/>
      <c r="H95" s="7"/>
      <c r="I95" s="107"/>
      <c r="AR95" s="10"/>
      <c r="AS95" s="10"/>
      <c r="AT95" s="10"/>
      <c r="AU95" s="10"/>
      <c r="AV95" s="10"/>
      <c r="AW95" s="10"/>
      <c r="AX95" s="10"/>
      <c r="AY95" s="10"/>
      <c r="AZ95" s="10"/>
      <c r="BA95" s="10"/>
      <c r="BB95" s="10"/>
      <c r="BC95" s="10"/>
      <c r="BD95" s="10"/>
      <c r="BE95" s="10"/>
      <c r="BF95" s="10"/>
      <c r="BG95" s="10"/>
      <c r="BH95" s="10"/>
      <c r="BI95" s="10"/>
      <c r="BJ95" s="10"/>
      <c r="BK95" s="10"/>
      <c r="BL95" s="10"/>
    </row>
    <row r="96" spans="2:64" s="8" customFormat="1" ht="15" x14ac:dyDescent="0.2">
      <c r="B96" s="362" t="s">
        <v>442</v>
      </c>
      <c r="C96" s="362"/>
      <c r="D96" s="34"/>
      <c r="E96" s="22" t="s">
        <v>653</v>
      </c>
      <c r="F96" s="326"/>
      <c r="G96" s="19" t="s">
        <v>443</v>
      </c>
      <c r="H96" s="7" t="s">
        <v>6</v>
      </c>
      <c r="I96" s="34"/>
      <c r="AR96" s="10"/>
      <c r="AS96" s="10"/>
      <c r="AT96" s="10"/>
      <c r="AU96" s="10"/>
      <c r="AV96" s="10"/>
      <c r="AW96" s="10"/>
      <c r="AX96" s="10"/>
      <c r="AY96" s="10"/>
      <c r="AZ96" s="10"/>
      <c r="BA96" s="10"/>
      <c r="BB96" s="10"/>
      <c r="BC96" s="10"/>
      <c r="BD96" s="10"/>
      <c r="BE96" s="10"/>
      <c r="BF96" s="10"/>
      <c r="BG96" s="10"/>
      <c r="BH96" s="10"/>
      <c r="BI96" s="10"/>
      <c r="BJ96" s="10"/>
      <c r="BK96" s="10"/>
      <c r="BL96" s="10"/>
    </row>
    <row r="97" spans="1:64" s="8" customFormat="1" ht="5.0999999999999996" customHeight="1" x14ac:dyDescent="0.2">
      <c r="B97" s="321"/>
      <c r="C97" s="321"/>
      <c r="D97" s="34"/>
      <c r="E97" s="22"/>
      <c r="F97" s="273"/>
      <c r="G97" s="19"/>
      <c r="H97" s="7"/>
      <c r="I97" s="34"/>
      <c r="AR97" s="10"/>
      <c r="AS97" s="10"/>
      <c r="AT97" s="10"/>
      <c r="AU97" s="10"/>
      <c r="AV97" s="10"/>
      <c r="AW97" s="10"/>
      <c r="AX97" s="10"/>
      <c r="AY97" s="10"/>
      <c r="AZ97" s="10"/>
      <c r="BA97" s="10"/>
      <c r="BB97" s="10"/>
      <c r="BC97" s="10"/>
      <c r="BD97" s="10"/>
      <c r="BE97" s="10"/>
      <c r="BF97" s="10"/>
      <c r="BG97" s="10"/>
      <c r="BH97" s="10"/>
      <c r="BI97" s="10"/>
      <c r="BJ97" s="10"/>
      <c r="BK97" s="10"/>
      <c r="BL97" s="10"/>
    </row>
    <row r="98" spans="1:64" s="8" customFormat="1" ht="15" x14ac:dyDescent="0.2">
      <c r="B98" s="22" t="s">
        <v>448</v>
      </c>
      <c r="C98" s="22"/>
      <c r="D98" s="34"/>
      <c r="E98" s="22" t="s">
        <v>449</v>
      </c>
      <c r="F98" s="274"/>
      <c r="G98" s="7" t="s">
        <v>450</v>
      </c>
      <c r="H98" s="7" t="s">
        <v>6</v>
      </c>
      <c r="I98" s="34"/>
      <c r="AR98" s="10"/>
      <c r="AS98" s="10"/>
      <c r="AT98" s="10"/>
      <c r="AU98" s="10"/>
      <c r="AV98" s="10"/>
      <c r="AW98" s="10"/>
      <c r="AX98" s="10"/>
      <c r="AY98" s="10"/>
      <c r="AZ98" s="10"/>
      <c r="BA98" s="10"/>
      <c r="BB98" s="10"/>
      <c r="BC98" s="10"/>
      <c r="BD98" s="10"/>
      <c r="BE98" s="10"/>
      <c r="BF98" s="10"/>
      <c r="BG98" s="10"/>
      <c r="BH98" s="10"/>
      <c r="BI98" s="10"/>
      <c r="BJ98" s="10"/>
      <c r="BK98" s="10"/>
      <c r="BL98" s="10"/>
    </row>
    <row r="99" spans="1:64" s="8" customFormat="1" x14ac:dyDescent="0.2">
      <c r="B99" s="321"/>
      <c r="C99" s="321"/>
      <c r="D99" s="34"/>
      <c r="E99" s="22"/>
      <c r="F99" s="7"/>
      <c r="G99" s="19"/>
      <c r="H99" s="7"/>
      <c r="I99" s="34"/>
      <c r="AR99" s="10"/>
      <c r="AS99" s="10"/>
      <c r="AT99" s="10"/>
      <c r="AU99" s="10"/>
      <c r="AV99" s="10"/>
      <c r="AW99" s="10"/>
      <c r="AX99" s="10"/>
      <c r="AY99" s="10"/>
      <c r="AZ99" s="10"/>
      <c r="BA99" s="10"/>
      <c r="BB99" s="10"/>
      <c r="BC99" s="10"/>
      <c r="BD99" s="10"/>
      <c r="BE99" s="10"/>
      <c r="BF99" s="10"/>
      <c r="BG99" s="10"/>
      <c r="BH99" s="10"/>
      <c r="BI99" s="10"/>
      <c r="BJ99" s="10"/>
      <c r="BK99" s="10"/>
      <c r="BL99" s="10"/>
    </row>
    <row r="100" spans="1:64" ht="15" x14ac:dyDescent="0.2">
      <c r="A100" s="10"/>
      <c r="B100" s="4" t="s">
        <v>83</v>
      </c>
      <c r="C100" s="4"/>
      <c r="D100" s="4"/>
      <c r="E100" s="4"/>
      <c r="F100" s="12"/>
      <c r="G100" s="12"/>
      <c r="H100" s="12"/>
      <c r="I100" s="12"/>
    </row>
    <row r="101" spans="1:64" x14ac:dyDescent="0.2">
      <c r="A101" s="10"/>
      <c r="B101" s="6"/>
      <c r="C101" s="6"/>
      <c r="D101" s="6"/>
      <c r="E101" s="6"/>
      <c r="F101" s="6"/>
      <c r="G101" s="6"/>
      <c r="H101" s="6"/>
      <c r="I101" s="6"/>
    </row>
    <row r="102" spans="1:64" ht="15" x14ac:dyDescent="0.2">
      <c r="A102" s="10"/>
      <c r="B102" s="14" t="s">
        <v>2</v>
      </c>
      <c r="C102" s="14"/>
      <c r="D102" s="14"/>
      <c r="E102" s="15" t="s">
        <v>4</v>
      </c>
      <c r="F102" s="16" t="s">
        <v>7</v>
      </c>
      <c r="G102" s="16" t="s">
        <v>3</v>
      </c>
      <c r="H102" s="16" t="s">
        <v>11</v>
      </c>
      <c r="I102" s="15" t="s">
        <v>34</v>
      </c>
    </row>
    <row r="103" spans="1:64" s="8" customFormat="1" x14ac:dyDescent="0.2">
      <c r="B103" s="321"/>
      <c r="C103" s="321"/>
      <c r="D103" s="34"/>
      <c r="E103" s="22"/>
      <c r="F103" s="7"/>
      <c r="G103" s="19"/>
      <c r="H103" s="7"/>
      <c r="I103" s="107"/>
      <c r="AR103" s="10"/>
      <c r="AS103" s="10"/>
      <c r="AT103" s="10"/>
      <c r="AU103" s="10"/>
      <c r="AV103" s="10"/>
      <c r="AW103" s="10"/>
      <c r="AX103" s="10"/>
      <c r="AY103" s="10"/>
      <c r="AZ103" s="10"/>
      <c r="BA103" s="10"/>
      <c r="BB103" s="10"/>
      <c r="BC103" s="10"/>
      <c r="BD103" s="10"/>
      <c r="BE103" s="10"/>
      <c r="BF103" s="10"/>
      <c r="BG103" s="10"/>
      <c r="BH103" s="10"/>
      <c r="BI103" s="10"/>
      <c r="BJ103" s="10"/>
      <c r="BK103" s="10"/>
      <c r="BL103" s="10"/>
    </row>
    <row r="104" spans="1:64" ht="15" x14ac:dyDescent="0.2">
      <c r="A104" s="10"/>
      <c r="B104" s="322" t="s">
        <v>84</v>
      </c>
      <c r="C104" s="17"/>
      <c r="D104" s="17"/>
      <c r="E104" s="30" t="s">
        <v>23</v>
      </c>
      <c r="F104" s="228" t="str">
        <f>IF(ISNUMBER(AREA_storage),AREA_storage*DEPTHsoil,"??")</f>
        <v>??</v>
      </c>
      <c r="G104" s="7" t="s">
        <v>24</v>
      </c>
      <c r="H104" s="7" t="s">
        <v>8</v>
      </c>
      <c r="I104" s="22" t="s">
        <v>93</v>
      </c>
    </row>
    <row r="105" spans="1:64" ht="5.0999999999999996" customHeight="1" x14ac:dyDescent="0.2">
      <c r="A105" s="10"/>
      <c r="B105" s="321"/>
      <c r="C105" s="17"/>
      <c r="D105" s="17"/>
      <c r="E105" s="30"/>
      <c r="F105" s="17"/>
      <c r="G105" s="7"/>
      <c r="H105" s="17"/>
      <c r="I105" s="22"/>
    </row>
    <row r="106" spans="1:64" ht="33" customHeight="1" x14ac:dyDescent="0.2">
      <c r="A106" s="10"/>
      <c r="B106" s="363" t="s">
        <v>85</v>
      </c>
      <c r="C106" s="363"/>
      <c r="D106" s="328"/>
      <c r="E106" s="167" t="s">
        <v>910</v>
      </c>
      <c r="F106" s="228" t="str">
        <f>IF(AND(ISNUMBER(FLUXstorage_spray),ISNUMBER(AREA_storage)),FLUXstorage_spray*AREAwood_expo*AREA_storage*TIME1,"??")</f>
        <v>??</v>
      </c>
      <c r="G106" s="7" t="s">
        <v>87</v>
      </c>
      <c r="H106" s="7" t="s">
        <v>8</v>
      </c>
      <c r="I106" s="321" t="s">
        <v>108</v>
      </c>
    </row>
    <row r="107" spans="1:64" ht="5.0999999999999996" customHeight="1" x14ac:dyDescent="0.2">
      <c r="A107" s="10"/>
      <c r="B107" s="325"/>
      <c r="C107" s="328"/>
      <c r="D107" s="328"/>
      <c r="E107" s="167"/>
      <c r="F107" s="17"/>
      <c r="G107" s="7"/>
      <c r="H107" s="17"/>
      <c r="I107" s="22"/>
    </row>
    <row r="108" spans="1:64" s="8" customFormat="1" ht="33" customHeight="1" x14ac:dyDescent="0.2">
      <c r="A108" s="10"/>
      <c r="B108" s="363" t="s">
        <v>86</v>
      </c>
      <c r="C108" s="363"/>
      <c r="D108" s="167"/>
      <c r="E108" s="167" t="s">
        <v>911</v>
      </c>
      <c r="F108" s="228" t="str">
        <f>IF(AND(ISNUMBER(FLUXstorage_spray),ISNUMBER(AREA_storage),ISNUMBER(TIME2)),FLUXstorage_spray*AREAwood_expo*AREA_storage*TIME2,"??")</f>
        <v>??</v>
      </c>
      <c r="G108" s="7" t="s">
        <v>87</v>
      </c>
      <c r="H108" s="7" t="s">
        <v>8</v>
      </c>
      <c r="I108" s="321" t="s">
        <v>109</v>
      </c>
      <c r="AR108" s="10"/>
      <c r="AS108" s="10"/>
      <c r="AT108" s="10"/>
      <c r="AU108" s="10"/>
      <c r="AV108" s="10"/>
      <c r="AW108" s="10"/>
      <c r="AX108" s="10"/>
      <c r="AY108" s="10"/>
      <c r="AZ108" s="10"/>
      <c r="BA108" s="10"/>
      <c r="BB108" s="10"/>
      <c r="BC108" s="10"/>
      <c r="BD108" s="10"/>
      <c r="BE108" s="10"/>
      <c r="BF108" s="10"/>
      <c r="BG108" s="10"/>
      <c r="BH108" s="10"/>
      <c r="BI108" s="10"/>
      <c r="BJ108" s="10"/>
      <c r="BK108" s="10"/>
      <c r="BL108" s="10"/>
    </row>
    <row r="109" spans="1:64" ht="5.0999999999999996" customHeight="1" x14ac:dyDescent="0.2">
      <c r="A109" s="10"/>
      <c r="B109" s="17"/>
      <c r="C109" s="17"/>
      <c r="D109" s="17"/>
      <c r="E109" s="17"/>
      <c r="F109" s="17"/>
      <c r="G109" s="17"/>
      <c r="H109" s="17"/>
      <c r="I109" s="22"/>
    </row>
    <row r="110" spans="1:64" ht="33" customHeight="1" x14ac:dyDescent="0.2">
      <c r="A110" s="10"/>
      <c r="B110" s="362" t="s">
        <v>935</v>
      </c>
      <c r="C110" s="362"/>
      <c r="D110" s="14"/>
      <c r="E110" s="30" t="s">
        <v>440</v>
      </c>
      <c r="F110" s="228" t="str">
        <f>IF(ISNUMBER(FLUXstorage_spray),FLUXstorage_spray*AREAwood_expo,"??")</f>
        <v>??</v>
      </c>
      <c r="G110" s="19" t="s">
        <v>936</v>
      </c>
      <c r="H110" s="7" t="s">
        <v>8</v>
      </c>
      <c r="I110" s="22" t="s">
        <v>441</v>
      </c>
    </row>
    <row r="111" spans="1:64" s="8" customFormat="1" x14ac:dyDescent="0.2">
      <c r="B111" s="324"/>
      <c r="C111" s="324"/>
      <c r="D111" s="324"/>
      <c r="E111" s="30"/>
      <c r="F111" s="22"/>
      <c r="G111" s="7"/>
      <c r="H111" s="7"/>
      <c r="I111" s="7"/>
      <c r="AR111" s="10"/>
      <c r="AS111" s="10"/>
      <c r="AT111" s="10"/>
      <c r="AU111" s="10"/>
      <c r="AV111" s="10"/>
      <c r="AW111" s="10"/>
      <c r="AX111" s="10"/>
      <c r="AY111" s="10"/>
      <c r="AZ111" s="10"/>
      <c r="BA111" s="10"/>
      <c r="BB111" s="10"/>
      <c r="BC111" s="10"/>
      <c r="BD111" s="10"/>
      <c r="BE111" s="10"/>
      <c r="BF111" s="10"/>
      <c r="BG111" s="10"/>
      <c r="BH111" s="10"/>
      <c r="BI111" s="10"/>
      <c r="BJ111" s="10"/>
      <c r="BK111" s="10"/>
      <c r="BL111" s="10"/>
    </row>
    <row r="112" spans="1:64" ht="15" x14ac:dyDescent="0.2">
      <c r="A112" s="10"/>
      <c r="B112" s="4" t="s">
        <v>1</v>
      </c>
      <c r="C112" s="4"/>
      <c r="D112" s="4"/>
      <c r="E112" s="4"/>
      <c r="F112" s="12"/>
      <c r="G112" s="12"/>
      <c r="H112" s="12"/>
      <c r="I112" s="12"/>
    </row>
    <row r="113" spans="1:64" x14ac:dyDescent="0.2">
      <c r="A113" s="10"/>
      <c r="B113" s="6"/>
      <c r="C113" s="6"/>
      <c r="D113" s="6"/>
      <c r="E113" s="6"/>
      <c r="F113" s="6"/>
      <c r="G113" s="6"/>
      <c r="H113" s="6"/>
      <c r="I113" s="6"/>
    </row>
    <row r="114" spans="1:64" ht="15" x14ac:dyDescent="0.2">
      <c r="A114" s="10"/>
      <c r="B114" s="14" t="s">
        <v>2</v>
      </c>
      <c r="C114" s="14"/>
      <c r="D114" s="14"/>
      <c r="E114" s="15" t="s">
        <v>4</v>
      </c>
      <c r="F114" s="16" t="s">
        <v>7</v>
      </c>
      <c r="G114" s="16" t="s">
        <v>3</v>
      </c>
      <c r="H114" s="16" t="s">
        <v>11</v>
      </c>
      <c r="I114" s="15" t="s">
        <v>34</v>
      </c>
    </row>
    <row r="115" spans="1:64" x14ac:dyDescent="0.2">
      <c r="A115" s="10"/>
      <c r="B115" s="17"/>
      <c r="C115" s="17"/>
      <c r="D115" s="17"/>
      <c r="E115" s="17"/>
      <c r="F115" s="17"/>
      <c r="G115" s="17"/>
      <c r="H115" s="17"/>
      <c r="I115" s="22"/>
    </row>
    <row r="116" spans="1:64" x14ac:dyDescent="0.2">
      <c r="A116" s="10"/>
      <c r="B116" s="121" t="s">
        <v>549</v>
      </c>
      <c r="C116" s="17"/>
      <c r="D116" s="17"/>
      <c r="E116" s="17"/>
      <c r="F116" s="17"/>
      <c r="G116" s="17"/>
      <c r="H116" s="17"/>
      <c r="I116" s="22"/>
    </row>
    <row r="117" spans="1:64" ht="3" customHeight="1" x14ac:dyDescent="0.2">
      <c r="A117" s="10"/>
      <c r="B117" s="121"/>
      <c r="C117" s="17"/>
      <c r="D117" s="17"/>
      <c r="E117" s="17"/>
      <c r="F117" s="17"/>
      <c r="G117" s="17"/>
      <c r="H117" s="17"/>
      <c r="I117" s="22"/>
    </row>
    <row r="118" spans="1:64" s="8" customFormat="1" ht="25.15" customHeight="1" x14ac:dyDescent="0.2">
      <c r="A118" s="10"/>
      <c r="B118" s="363" t="s">
        <v>930</v>
      </c>
      <c r="C118" s="363"/>
      <c r="D118" s="337"/>
      <c r="E118" s="167" t="s">
        <v>937</v>
      </c>
      <c r="F118" s="343" t="str">
        <f>IF(ISNUMBER(Qleach_storage_TIME1),Qleach_storage_TIME1*(1-Frunoff)/TIME1,"??")</f>
        <v>??</v>
      </c>
      <c r="G118" s="19" t="s">
        <v>936</v>
      </c>
      <c r="H118" s="19" t="s">
        <v>8</v>
      </c>
      <c r="I118" s="337" t="s">
        <v>938</v>
      </c>
      <c r="AR118" s="10"/>
      <c r="AS118" s="10"/>
      <c r="AT118" s="10"/>
      <c r="AU118" s="10"/>
      <c r="AV118" s="10"/>
      <c r="AW118" s="10"/>
      <c r="AX118" s="10"/>
      <c r="AY118" s="10"/>
      <c r="AZ118" s="10"/>
      <c r="BA118" s="10"/>
      <c r="BB118" s="10"/>
      <c r="BC118" s="10"/>
      <c r="BD118" s="10"/>
      <c r="BE118" s="10"/>
      <c r="BF118" s="10"/>
      <c r="BG118" s="10"/>
      <c r="BH118" s="10"/>
      <c r="BI118" s="10"/>
      <c r="BJ118" s="10"/>
      <c r="BK118" s="10"/>
      <c r="BL118" s="10"/>
    </row>
    <row r="119" spans="1:64" s="8" customFormat="1" ht="5.0999999999999996" customHeight="1" x14ac:dyDescent="0.2">
      <c r="A119" s="10"/>
      <c r="B119" s="337"/>
      <c r="C119" s="337"/>
      <c r="D119" s="337"/>
      <c r="E119" s="167"/>
      <c r="F119" s="167"/>
      <c r="G119" s="19"/>
      <c r="H119" s="19"/>
      <c r="I119" s="337"/>
      <c r="AR119" s="10"/>
      <c r="AS119" s="10"/>
      <c r="AT119" s="10"/>
      <c r="AU119" s="10"/>
      <c r="AV119" s="10"/>
      <c r="AW119" s="10"/>
      <c r="AX119" s="10"/>
      <c r="AY119" s="10"/>
      <c r="AZ119" s="10"/>
      <c r="BA119" s="10"/>
      <c r="BB119" s="10"/>
      <c r="BC119" s="10"/>
      <c r="BD119" s="10"/>
      <c r="BE119" s="10"/>
      <c r="BF119" s="10"/>
      <c r="BG119" s="10"/>
      <c r="BH119" s="10"/>
      <c r="BI119" s="10"/>
      <c r="BJ119" s="10"/>
      <c r="BK119" s="10"/>
      <c r="BL119" s="10"/>
    </row>
    <row r="120" spans="1:64" s="8" customFormat="1" ht="25.15" customHeight="1" x14ac:dyDescent="0.2">
      <c r="A120" s="10"/>
      <c r="B120" s="363" t="s">
        <v>931</v>
      </c>
      <c r="C120" s="363"/>
      <c r="D120" s="337"/>
      <c r="E120" s="167" t="s">
        <v>939</v>
      </c>
      <c r="F120" s="343" t="str">
        <f>IF(AND(ISNUMBER(Qleach_storage_TIME2),ISNUMBER(TIME2)),Qleach_storage_TIME2*(1-Frunoff)/TIME2,"??")</f>
        <v>??</v>
      </c>
      <c r="G120" s="19" t="s">
        <v>936</v>
      </c>
      <c r="H120" s="19" t="s">
        <v>8</v>
      </c>
      <c r="I120" s="337" t="s">
        <v>940</v>
      </c>
      <c r="AR120" s="10"/>
      <c r="AS120" s="10"/>
      <c r="AT120" s="10"/>
      <c r="AU120" s="10"/>
      <c r="AV120" s="10"/>
      <c r="AW120" s="10"/>
      <c r="AX120" s="10"/>
      <c r="AY120" s="10"/>
      <c r="AZ120" s="10"/>
      <c r="BA120" s="10"/>
      <c r="BB120" s="10"/>
      <c r="BC120" s="10"/>
      <c r="BD120" s="10"/>
      <c r="BE120" s="10"/>
      <c r="BF120" s="10"/>
      <c r="BG120" s="10"/>
      <c r="BH120" s="10"/>
      <c r="BI120" s="10"/>
      <c r="BJ120" s="10"/>
      <c r="BK120" s="10"/>
      <c r="BL120" s="10"/>
    </row>
    <row r="121" spans="1:64" s="8" customFormat="1" ht="5.0999999999999996" customHeight="1" x14ac:dyDescent="0.2">
      <c r="A121" s="10"/>
      <c r="B121" s="321"/>
      <c r="C121" s="321"/>
      <c r="D121" s="321"/>
      <c r="E121" s="30"/>
      <c r="F121" s="30"/>
      <c r="G121" s="7"/>
      <c r="H121" s="7"/>
      <c r="I121" s="141"/>
      <c r="AR121" s="10"/>
      <c r="AS121" s="10"/>
      <c r="AT121" s="10"/>
      <c r="AU121" s="10"/>
      <c r="AV121" s="10"/>
      <c r="AW121" s="10"/>
      <c r="AX121" s="10"/>
      <c r="AY121" s="10"/>
      <c r="AZ121" s="10"/>
      <c r="BA121" s="10"/>
      <c r="BB121" s="10"/>
      <c r="BC121" s="10"/>
      <c r="BD121" s="10"/>
      <c r="BE121" s="10"/>
      <c r="BF121" s="10"/>
      <c r="BG121" s="10"/>
      <c r="BH121" s="10"/>
      <c r="BI121" s="10"/>
      <c r="BJ121" s="10"/>
      <c r="BK121" s="10"/>
      <c r="BL121" s="10"/>
    </row>
    <row r="122" spans="1:64" s="8" customFormat="1" ht="25.15" customHeight="1" x14ac:dyDescent="0.2">
      <c r="A122" s="10"/>
      <c r="B122" s="363" t="s">
        <v>932</v>
      </c>
      <c r="C122" s="363"/>
      <c r="D122" s="321"/>
      <c r="E122" s="30" t="s">
        <v>98</v>
      </c>
      <c r="F122" s="228" t="str">
        <f>IF(ISNUMBER(Qleach_storage_TIME1),Qleach_storage_TIME1*Frunoff/TIME1,"??")</f>
        <v>??</v>
      </c>
      <c r="G122" s="7" t="s">
        <v>21</v>
      </c>
      <c r="H122" s="7" t="s">
        <v>8</v>
      </c>
      <c r="I122" s="141" t="s">
        <v>104</v>
      </c>
      <c r="AR122" s="10"/>
      <c r="AS122" s="10"/>
      <c r="AT122" s="10"/>
      <c r="AU122" s="10"/>
      <c r="AV122" s="10"/>
      <c r="AW122" s="10"/>
      <c r="AX122" s="10"/>
      <c r="AY122" s="10"/>
      <c r="AZ122" s="10"/>
      <c r="BA122" s="10"/>
      <c r="BB122" s="10"/>
      <c r="BC122" s="10"/>
      <c r="BD122" s="10"/>
      <c r="BE122" s="10"/>
      <c r="BF122" s="10"/>
      <c r="BG122" s="10"/>
      <c r="BH122" s="10"/>
      <c r="BI122" s="10"/>
      <c r="BJ122" s="10"/>
      <c r="BK122" s="10"/>
      <c r="BL122" s="10"/>
    </row>
    <row r="123" spans="1:64" s="8" customFormat="1" ht="5.0999999999999996" customHeight="1" x14ac:dyDescent="0.2">
      <c r="A123" s="10"/>
      <c r="B123" s="325"/>
      <c r="C123" s="325"/>
      <c r="D123" s="321"/>
      <c r="E123" s="30"/>
      <c r="F123" s="30"/>
      <c r="G123" s="7"/>
      <c r="H123" s="7"/>
      <c r="I123" s="141"/>
      <c r="AR123" s="10"/>
      <c r="AS123" s="10"/>
      <c r="AT123" s="10"/>
      <c r="AU123" s="10"/>
      <c r="AV123" s="10"/>
      <c r="AW123" s="10"/>
      <c r="AX123" s="10"/>
      <c r="AY123" s="10"/>
      <c r="AZ123" s="10"/>
      <c r="BA123" s="10"/>
      <c r="BB123" s="10"/>
      <c r="BC123" s="10"/>
      <c r="BD123" s="10"/>
      <c r="BE123" s="10"/>
      <c r="BF123" s="10"/>
      <c r="BG123" s="10"/>
      <c r="BH123" s="10"/>
      <c r="BI123" s="10"/>
      <c r="BJ123" s="10"/>
      <c r="BK123" s="10"/>
      <c r="BL123" s="10"/>
    </row>
    <row r="124" spans="1:64" s="8" customFormat="1" ht="25.15" customHeight="1" x14ac:dyDescent="0.2">
      <c r="A124" s="10"/>
      <c r="B124" s="363" t="s">
        <v>933</v>
      </c>
      <c r="C124" s="363"/>
      <c r="D124" s="321"/>
      <c r="E124" s="30" t="s">
        <v>99</v>
      </c>
      <c r="F124" s="228" t="str">
        <f>IF(AND(ISNUMBER(Qleach_storage_TIME2),ISNUMBER(TIME2)),Qleach_storage_TIME2*Frunoff/TIME2,"??")</f>
        <v>??</v>
      </c>
      <c r="G124" s="7" t="s">
        <v>21</v>
      </c>
      <c r="H124" s="7" t="s">
        <v>8</v>
      </c>
      <c r="I124" s="141" t="s">
        <v>105</v>
      </c>
      <c r="AR124" s="10"/>
      <c r="AS124" s="10"/>
      <c r="AT124" s="10"/>
      <c r="AU124" s="10"/>
      <c r="AV124" s="10"/>
      <c r="AW124" s="10"/>
      <c r="AX124" s="10"/>
      <c r="AY124" s="10"/>
      <c r="AZ124" s="10"/>
      <c r="BA124" s="10"/>
      <c r="BB124" s="10"/>
      <c r="BC124" s="10"/>
      <c r="BD124" s="10"/>
      <c r="BE124" s="10"/>
      <c r="BF124" s="10"/>
      <c r="BG124" s="10"/>
      <c r="BH124" s="10"/>
      <c r="BI124" s="10"/>
      <c r="BJ124" s="10"/>
      <c r="BK124" s="10"/>
      <c r="BL124" s="10"/>
    </row>
    <row r="125" spans="1:64" s="8" customFormat="1" x14ac:dyDescent="0.2">
      <c r="A125" s="10"/>
      <c r="B125" s="337"/>
      <c r="C125" s="337"/>
      <c r="D125" s="336"/>
      <c r="E125" s="30"/>
      <c r="F125" s="17"/>
      <c r="G125" s="7"/>
      <c r="H125" s="7"/>
      <c r="I125" s="141"/>
      <c r="AR125" s="10"/>
      <c r="AS125" s="10"/>
      <c r="AT125" s="10"/>
      <c r="AU125" s="10"/>
      <c r="AV125" s="10"/>
      <c r="AW125" s="10"/>
      <c r="AX125" s="10"/>
      <c r="AY125" s="10"/>
      <c r="AZ125" s="10"/>
      <c r="BA125" s="10"/>
      <c r="BB125" s="10"/>
      <c r="BC125" s="10"/>
      <c r="BD125" s="10"/>
      <c r="BE125" s="10"/>
      <c r="BF125" s="10"/>
      <c r="BG125" s="10"/>
      <c r="BH125" s="10"/>
      <c r="BI125" s="10"/>
      <c r="BJ125" s="10"/>
      <c r="BK125" s="10"/>
      <c r="BL125" s="10"/>
    </row>
    <row r="126" spans="1:64" s="8" customFormat="1" ht="25.15" customHeight="1" x14ac:dyDescent="0.2">
      <c r="A126" s="10"/>
      <c r="B126" s="364" t="s">
        <v>88</v>
      </c>
      <c r="C126" s="364"/>
      <c r="D126" s="353"/>
      <c r="E126" s="30" t="s">
        <v>89</v>
      </c>
      <c r="F126" s="228" t="str">
        <f>IF(AND(ISNUMBER(Qleach_storage_TIME1),ISNUMBER(Vsoil)),Qleach_storage_TIME1*(1-Frunoff)/(Vsoil*RHOsoil),"??")</f>
        <v>??</v>
      </c>
      <c r="G126" s="7" t="s">
        <v>90</v>
      </c>
      <c r="H126" s="7" t="s">
        <v>8</v>
      </c>
      <c r="I126" s="141" t="s">
        <v>96</v>
      </c>
      <c r="AR126" s="10"/>
      <c r="AS126" s="10"/>
      <c r="AT126" s="10"/>
      <c r="AU126" s="10"/>
      <c r="AV126" s="10"/>
      <c r="AW126" s="10"/>
      <c r="AX126" s="10"/>
      <c r="AY126" s="10"/>
      <c r="AZ126" s="10"/>
      <c r="BA126" s="10"/>
      <c r="BB126" s="10"/>
      <c r="BC126" s="10"/>
      <c r="BD126" s="10"/>
      <c r="BE126" s="10"/>
      <c r="BF126" s="10"/>
      <c r="BG126" s="10"/>
      <c r="BH126" s="10"/>
      <c r="BI126" s="10"/>
      <c r="BJ126" s="10"/>
      <c r="BK126" s="10"/>
      <c r="BL126" s="10"/>
    </row>
    <row r="127" spans="1:64" s="8" customFormat="1" ht="3" customHeight="1" x14ac:dyDescent="0.2">
      <c r="A127" s="10"/>
      <c r="B127" s="321"/>
      <c r="C127" s="321"/>
      <c r="D127" s="321"/>
      <c r="E127" s="30"/>
      <c r="F127" s="30"/>
      <c r="G127" s="7"/>
      <c r="H127" s="7"/>
      <c r="I127" s="20"/>
      <c r="AR127" s="10"/>
      <c r="AS127" s="10"/>
      <c r="AT127" s="10"/>
      <c r="AU127" s="10"/>
      <c r="AV127" s="10"/>
      <c r="AW127" s="10"/>
      <c r="AX127" s="10"/>
      <c r="AY127" s="10"/>
      <c r="AZ127" s="10"/>
      <c r="BA127" s="10"/>
      <c r="BB127" s="10"/>
      <c r="BC127" s="10"/>
      <c r="BD127" s="10"/>
      <c r="BE127" s="10"/>
      <c r="BF127" s="10"/>
      <c r="BG127" s="10"/>
      <c r="BH127" s="10"/>
      <c r="BI127" s="10"/>
      <c r="BJ127" s="10"/>
      <c r="BK127" s="10"/>
      <c r="BL127" s="10"/>
    </row>
    <row r="128" spans="1:64" s="8" customFormat="1" ht="25.15" customHeight="1" x14ac:dyDescent="0.2">
      <c r="A128" s="10"/>
      <c r="B128" s="362" t="s">
        <v>91</v>
      </c>
      <c r="C128" s="362"/>
      <c r="D128" s="30"/>
      <c r="E128" s="30" t="s">
        <v>92</v>
      </c>
      <c r="F128" s="228" t="str">
        <f>IF(AND(ISNUMBER(Qleach_storage_TIME2),ISNUMBER(Vsoil)),Qleach_storage_TIME2*(1-Frunoff)/(Vsoil*RHOsoil),"??")</f>
        <v>??</v>
      </c>
      <c r="G128" s="7" t="s">
        <v>90</v>
      </c>
      <c r="H128" s="7" t="s">
        <v>8</v>
      </c>
      <c r="I128" s="141" t="s">
        <v>97</v>
      </c>
      <c r="AR128" s="10"/>
      <c r="AS128" s="10"/>
      <c r="AT128" s="10"/>
      <c r="AU128" s="10"/>
      <c r="AV128" s="10"/>
      <c r="AW128" s="10"/>
      <c r="AX128" s="10"/>
      <c r="AY128" s="10"/>
      <c r="AZ128" s="10"/>
      <c r="BA128" s="10"/>
      <c r="BB128" s="10"/>
      <c r="BC128" s="10"/>
      <c r="BD128" s="10"/>
      <c r="BE128" s="10"/>
      <c r="BF128" s="10"/>
      <c r="BG128" s="10"/>
      <c r="BH128" s="10"/>
      <c r="BI128" s="10"/>
      <c r="BJ128" s="10"/>
      <c r="BK128" s="10"/>
      <c r="BL128" s="10"/>
    </row>
    <row r="129" spans="1:64" ht="3" customHeight="1" x14ac:dyDescent="0.2">
      <c r="A129" s="10"/>
      <c r="B129" s="324"/>
      <c r="C129" s="324"/>
      <c r="D129" s="14"/>
      <c r="E129" s="30"/>
      <c r="F129" s="22"/>
      <c r="G129" s="19"/>
      <c r="H129" s="7"/>
      <c r="I129" s="22"/>
    </row>
    <row r="130" spans="1:64" s="8" customFormat="1" ht="30" customHeight="1" x14ac:dyDescent="0.2">
      <c r="A130" s="10"/>
      <c r="B130" s="362" t="s">
        <v>100</v>
      </c>
      <c r="C130" s="362"/>
      <c r="D130" s="321"/>
      <c r="E130" s="6" t="s">
        <v>102</v>
      </c>
      <c r="F130" s="228" t="str">
        <f>IF(ISNUMBER(F122),F122*1000/FLOWsurfacewater,"??")</f>
        <v>??</v>
      </c>
      <c r="G130" s="7" t="s">
        <v>124</v>
      </c>
      <c r="H130" s="7" t="s">
        <v>8</v>
      </c>
      <c r="I130" s="141" t="s">
        <v>462</v>
      </c>
      <c r="AR130" s="10"/>
      <c r="AS130" s="10"/>
      <c r="AT130" s="10"/>
      <c r="AU130" s="10"/>
      <c r="AV130" s="10"/>
      <c r="AW130" s="10"/>
      <c r="AX130" s="10"/>
      <c r="AY130" s="10"/>
      <c r="AZ130" s="10"/>
      <c r="BA130" s="10"/>
      <c r="BB130" s="10"/>
      <c r="BC130" s="10"/>
      <c r="BD130" s="10"/>
      <c r="BE130" s="10"/>
      <c r="BF130" s="10"/>
      <c r="BG130" s="10"/>
      <c r="BH130" s="10"/>
      <c r="BI130" s="10"/>
      <c r="BJ130" s="10"/>
      <c r="BK130" s="10"/>
      <c r="BL130" s="10"/>
    </row>
    <row r="131" spans="1:64" s="8" customFormat="1" ht="3" customHeight="1" x14ac:dyDescent="0.2">
      <c r="A131" s="10"/>
      <c r="B131" s="321"/>
      <c r="C131" s="321"/>
      <c r="D131" s="321"/>
      <c r="E131" s="30"/>
      <c r="F131" s="30"/>
      <c r="G131" s="7"/>
      <c r="H131" s="7"/>
      <c r="I131" s="141"/>
      <c r="AR131" s="10"/>
      <c r="AS131" s="10"/>
      <c r="AT131" s="10"/>
      <c r="AU131" s="10"/>
      <c r="AV131" s="10"/>
      <c r="AW131" s="10"/>
      <c r="AX131" s="10"/>
      <c r="AY131" s="10"/>
      <c r="AZ131" s="10"/>
      <c r="BA131" s="10"/>
      <c r="BB131" s="10"/>
      <c r="BC131" s="10"/>
      <c r="BD131" s="10"/>
      <c r="BE131" s="10"/>
      <c r="BF131" s="10"/>
      <c r="BG131" s="10"/>
      <c r="BH131" s="10"/>
      <c r="BI131" s="10"/>
      <c r="BJ131" s="10"/>
      <c r="BK131" s="10"/>
      <c r="BL131" s="10"/>
    </row>
    <row r="132" spans="1:64" s="8" customFormat="1" ht="30" customHeight="1" x14ac:dyDescent="0.2">
      <c r="A132" s="10"/>
      <c r="B132" s="362" t="s">
        <v>101</v>
      </c>
      <c r="C132" s="362"/>
      <c r="D132" s="321"/>
      <c r="E132" s="30" t="s">
        <v>103</v>
      </c>
      <c r="F132" s="228" t="str">
        <f>IF(ISNUMBER(F124),F124*1000/FLOWsurfacewater,"??")</f>
        <v>??</v>
      </c>
      <c r="G132" s="7" t="s">
        <v>124</v>
      </c>
      <c r="H132" s="7" t="s">
        <v>8</v>
      </c>
      <c r="I132" s="141" t="s">
        <v>463</v>
      </c>
      <c r="AR132" s="10"/>
      <c r="AS132" s="10"/>
      <c r="AT132" s="10"/>
      <c r="AU132" s="10"/>
      <c r="AV132" s="10"/>
      <c r="AW132" s="10"/>
      <c r="AX132" s="10"/>
      <c r="AY132" s="10"/>
      <c r="AZ132" s="10"/>
      <c r="BA132" s="10"/>
      <c r="BB132" s="10"/>
      <c r="BC132" s="10"/>
      <c r="BD132" s="10"/>
      <c r="BE132" s="10"/>
      <c r="BF132" s="10"/>
      <c r="BG132" s="10"/>
      <c r="BH132" s="10"/>
      <c r="BI132" s="10"/>
      <c r="BJ132" s="10"/>
      <c r="BK132" s="10"/>
      <c r="BL132" s="10"/>
    </row>
    <row r="133" spans="1:64" s="8" customFormat="1" x14ac:dyDescent="0.2">
      <c r="A133" s="10"/>
      <c r="B133" s="321"/>
      <c r="C133" s="321"/>
      <c r="D133" s="321"/>
      <c r="E133" s="30"/>
      <c r="F133" s="30"/>
      <c r="G133" s="7"/>
      <c r="H133" s="7"/>
      <c r="I133" s="141"/>
      <c r="AR133" s="10"/>
      <c r="AS133" s="10"/>
      <c r="AT133" s="10"/>
      <c r="AU133" s="10"/>
      <c r="AV133" s="10"/>
      <c r="AW133" s="10"/>
      <c r="AX133" s="10"/>
      <c r="AY133" s="10"/>
      <c r="AZ133" s="10"/>
      <c r="BA133" s="10"/>
      <c r="BB133" s="10"/>
      <c r="BC133" s="10"/>
      <c r="BD133" s="10"/>
      <c r="BE133" s="10"/>
      <c r="BF133" s="10"/>
      <c r="BG133" s="10"/>
      <c r="BH133" s="10"/>
      <c r="BI133" s="10"/>
      <c r="BJ133" s="10"/>
      <c r="BK133" s="10"/>
      <c r="BL133" s="10"/>
    </row>
    <row r="134" spans="1:64" s="8" customFormat="1" x14ac:dyDescent="0.2">
      <c r="A134" s="10"/>
      <c r="B134" s="121" t="s">
        <v>550</v>
      </c>
      <c r="C134" s="321"/>
      <c r="D134" s="321"/>
      <c r="E134" s="30"/>
      <c r="F134" s="30"/>
      <c r="G134" s="7"/>
      <c r="H134" s="7"/>
      <c r="I134" s="20"/>
      <c r="AR134" s="10"/>
      <c r="AS134" s="10"/>
      <c r="AT134" s="10"/>
      <c r="AU134" s="10"/>
      <c r="AV134" s="10"/>
      <c r="AW134" s="10"/>
      <c r="AX134" s="10"/>
      <c r="AY134" s="10"/>
      <c r="AZ134" s="10"/>
      <c r="BA134" s="10"/>
      <c r="BB134" s="10"/>
      <c r="BC134" s="10"/>
      <c r="BD134" s="10"/>
      <c r="BE134" s="10"/>
      <c r="BF134" s="10"/>
      <c r="BG134" s="10"/>
      <c r="BH134" s="10"/>
      <c r="BI134" s="10"/>
      <c r="BJ134" s="10"/>
      <c r="BK134" s="10"/>
      <c r="BL134" s="10"/>
    </row>
    <row r="135" spans="1:64" s="8" customFormat="1" ht="3" customHeight="1" x14ac:dyDescent="0.2">
      <c r="A135" s="10"/>
      <c r="B135" s="321"/>
      <c r="C135" s="321"/>
      <c r="D135" s="321"/>
      <c r="E135" s="30"/>
      <c r="F135" s="30"/>
      <c r="G135" s="7"/>
      <c r="H135" s="7"/>
      <c r="I135" s="20"/>
      <c r="AR135" s="10"/>
      <c r="AS135" s="10"/>
      <c r="AT135" s="10"/>
      <c r="AU135" s="10"/>
      <c r="AV135" s="10"/>
      <c r="AW135" s="10"/>
      <c r="AX135" s="10"/>
      <c r="AY135" s="10"/>
      <c r="AZ135" s="10"/>
      <c r="BA135" s="10"/>
      <c r="BB135" s="10"/>
      <c r="BC135" s="10"/>
      <c r="BD135" s="10"/>
      <c r="BE135" s="10"/>
      <c r="BF135" s="10"/>
      <c r="BG135" s="10"/>
      <c r="BH135" s="10"/>
      <c r="BI135" s="10"/>
      <c r="BJ135" s="10"/>
      <c r="BK135" s="10"/>
      <c r="BL135" s="10"/>
    </row>
    <row r="136" spans="1:64" s="8" customFormat="1" ht="15" customHeight="1" x14ac:dyDescent="0.2">
      <c r="A136" s="10"/>
      <c r="B136" s="362" t="s">
        <v>444</v>
      </c>
      <c r="C136" s="362"/>
      <c r="D136" s="362"/>
      <c r="E136" s="6" t="s">
        <v>445</v>
      </c>
      <c r="F136" s="228" t="str">
        <f>IF(AND(ISNUMBER(Elocal_soil),ISNUMBER(ksoil)),Elocal_soil*(1-Frunoff)/(DEPTHsoil*RHOsoil*ksoil),"??")</f>
        <v>??</v>
      </c>
      <c r="G136" s="7" t="s">
        <v>90</v>
      </c>
      <c r="H136" s="7" t="s">
        <v>8</v>
      </c>
      <c r="I136" s="141" t="s">
        <v>518</v>
      </c>
      <c r="AR136" s="10"/>
      <c r="AS136" s="10"/>
      <c r="AT136" s="10"/>
      <c r="AU136" s="10"/>
      <c r="AV136" s="10"/>
      <c r="AW136" s="10"/>
      <c r="AX136" s="10"/>
      <c r="AY136" s="10"/>
      <c r="AZ136" s="10"/>
      <c r="BA136" s="10"/>
      <c r="BB136" s="10"/>
      <c r="BC136" s="10"/>
      <c r="BD136" s="10"/>
      <c r="BE136" s="10"/>
      <c r="BF136" s="10"/>
      <c r="BG136" s="10"/>
      <c r="BH136" s="10"/>
      <c r="BI136" s="10"/>
      <c r="BJ136" s="10"/>
      <c r="BK136" s="10"/>
      <c r="BL136" s="10"/>
    </row>
    <row r="137" spans="1:64" s="8" customFormat="1" ht="3" customHeight="1" x14ac:dyDescent="0.2">
      <c r="A137" s="10"/>
      <c r="B137" s="321"/>
      <c r="C137" s="321"/>
      <c r="D137" s="321"/>
      <c r="E137" s="30"/>
      <c r="F137" s="30"/>
      <c r="G137" s="7"/>
      <c r="H137" s="7"/>
      <c r="I137" s="141"/>
      <c r="AR137" s="10"/>
      <c r="AS137" s="10"/>
      <c r="AT137" s="10"/>
      <c r="AU137" s="10"/>
      <c r="AV137" s="10"/>
      <c r="AW137" s="10"/>
      <c r="AX137" s="10"/>
      <c r="AY137" s="10"/>
      <c r="AZ137" s="10"/>
      <c r="BA137" s="10"/>
      <c r="BB137" s="10"/>
      <c r="BC137" s="10"/>
      <c r="BD137" s="10"/>
      <c r="BE137" s="10"/>
      <c r="BF137" s="10"/>
      <c r="BG137" s="10"/>
      <c r="BH137" s="10"/>
      <c r="BI137" s="10"/>
      <c r="BJ137" s="10"/>
      <c r="BK137" s="10"/>
      <c r="BL137" s="10"/>
    </row>
    <row r="138" spans="1:64" s="8" customFormat="1" ht="15" customHeight="1" x14ac:dyDescent="0.2">
      <c r="A138" s="10"/>
      <c r="B138" s="362" t="s">
        <v>446</v>
      </c>
      <c r="C138" s="362"/>
      <c r="D138" s="362"/>
      <c r="E138" s="6" t="s">
        <v>447</v>
      </c>
      <c r="F138" s="228" t="str">
        <f>IF(AND(ISNUMBER(Clocal_soil_ss),ISNUMBER(Ksoilwater)),Clocal_soil_ss*RHOsoil/Ksoilwater,"??")</f>
        <v>??</v>
      </c>
      <c r="G138" s="7" t="s">
        <v>118</v>
      </c>
      <c r="H138" s="7" t="s">
        <v>8</v>
      </c>
      <c r="I138" s="141" t="s">
        <v>451</v>
      </c>
      <c r="AR138" s="10"/>
      <c r="AS138" s="10"/>
      <c r="AT138" s="10"/>
      <c r="AU138" s="10"/>
      <c r="AV138" s="10"/>
      <c r="AW138" s="10"/>
      <c r="AX138" s="10"/>
      <c r="AY138" s="10"/>
      <c r="AZ138" s="10"/>
      <c r="BA138" s="10"/>
      <c r="BB138" s="10"/>
      <c r="BC138" s="10"/>
      <c r="BD138" s="10"/>
      <c r="BE138" s="10"/>
      <c r="BF138" s="10"/>
      <c r="BG138" s="10"/>
      <c r="BH138" s="10"/>
      <c r="BI138" s="10"/>
      <c r="BJ138" s="10"/>
      <c r="BK138" s="10"/>
      <c r="BL138" s="10"/>
    </row>
    <row r="139" spans="1:64" s="8" customFormat="1" x14ac:dyDescent="0.2">
      <c r="A139" s="10"/>
      <c r="B139" s="321"/>
      <c r="C139" s="321"/>
      <c r="D139" s="321"/>
      <c r="E139" s="30"/>
      <c r="F139" s="30"/>
      <c r="G139" s="7"/>
      <c r="H139" s="7"/>
      <c r="I139" s="20"/>
      <c r="AR139" s="10"/>
      <c r="AS139" s="10"/>
      <c r="AT139" s="10"/>
      <c r="AU139" s="10"/>
      <c r="AV139" s="10"/>
      <c r="AW139" s="10"/>
      <c r="AX139" s="10"/>
      <c r="AY139" s="10"/>
      <c r="AZ139" s="10"/>
      <c r="BA139" s="10"/>
      <c r="BB139" s="10"/>
      <c r="BC139" s="10"/>
      <c r="BD139" s="10"/>
      <c r="BE139" s="10"/>
      <c r="BF139" s="10"/>
      <c r="BG139" s="10"/>
      <c r="BH139" s="10"/>
      <c r="BI139" s="10"/>
      <c r="BJ139" s="10"/>
      <c r="BK139" s="10"/>
      <c r="BL139" s="10"/>
    </row>
    <row r="140" spans="1:64" s="8" customFormat="1" x14ac:dyDescent="0.2">
      <c r="B140" s="86" t="s">
        <v>12</v>
      </c>
      <c r="C140" s="86"/>
      <c r="F140" s="87"/>
      <c r="G140" s="88"/>
      <c r="H140" s="74"/>
      <c r="I140" s="85"/>
      <c r="AR140" s="10"/>
      <c r="AS140" s="10"/>
      <c r="AT140" s="10"/>
      <c r="AU140" s="10"/>
      <c r="AV140" s="10"/>
      <c r="AW140" s="10"/>
      <c r="AX140" s="10"/>
      <c r="AY140" s="10"/>
      <c r="AZ140" s="10"/>
      <c r="BA140" s="10"/>
      <c r="BB140" s="10"/>
      <c r="BC140" s="10"/>
      <c r="BD140" s="10"/>
      <c r="BE140" s="10"/>
      <c r="BF140" s="10"/>
      <c r="BG140" s="10"/>
      <c r="BH140" s="10"/>
      <c r="BI140" s="10"/>
      <c r="BJ140" s="10"/>
      <c r="BK140" s="10"/>
      <c r="BL140" s="10"/>
    </row>
    <row r="141" spans="1:64" s="8" customFormat="1" ht="15" x14ac:dyDescent="0.2">
      <c r="B141" s="86"/>
      <c r="C141" s="80"/>
      <c r="G141" s="89"/>
      <c r="H141" s="74"/>
      <c r="I141" s="85"/>
      <c r="AR141" s="10"/>
      <c r="AS141" s="10"/>
      <c r="AT141" s="10"/>
      <c r="AU141" s="10"/>
      <c r="AV141" s="10"/>
      <c r="AW141" s="10"/>
      <c r="AX141" s="10"/>
      <c r="AY141" s="10"/>
      <c r="AZ141" s="10"/>
      <c r="BA141" s="10"/>
      <c r="BB141" s="10"/>
      <c r="BC141" s="10"/>
      <c r="BD141" s="10"/>
      <c r="BE141" s="10"/>
      <c r="BF141" s="10"/>
      <c r="BG141" s="10"/>
      <c r="BH141" s="10"/>
      <c r="BI141" s="10"/>
      <c r="BJ141" s="10"/>
      <c r="BK141" s="10"/>
      <c r="BL141" s="10"/>
    </row>
    <row r="142" spans="1:64" s="8" customFormat="1" ht="15" x14ac:dyDescent="0.2">
      <c r="B142" s="307" t="s">
        <v>818</v>
      </c>
      <c r="C142" s="80"/>
      <c r="G142" s="89"/>
      <c r="H142" s="74"/>
      <c r="I142" s="85"/>
      <c r="AR142" s="10"/>
      <c r="AS142" s="10"/>
      <c r="AT142" s="10"/>
      <c r="AU142" s="10"/>
      <c r="AV142" s="10"/>
      <c r="AW142" s="10"/>
      <c r="AX142" s="10"/>
      <c r="AY142" s="10"/>
      <c r="AZ142" s="10"/>
      <c r="BA142" s="10"/>
      <c r="BB142" s="10"/>
      <c r="BC142" s="10"/>
      <c r="BD142" s="10"/>
      <c r="BE142" s="10"/>
      <c r="BF142" s="10"/>
      <c r="BG142" s="10"/>
      <c r="BH142" s="10"/>
      <c r="BI142" s="10"/>
      <c r="BJ142" s="10"/>
      <c r="BK142" s="10"/>
      <c r="BL142" s="10"/>
    </row>
    <row r="143" spans="1:64" s="8" customFormat="1" x14ac:dyDescent="0.2">
      <c r="E143" s="85"/>
      <c r="AR143" s="10"/>
      <c r="AS143" s="10"/>
      <c r="AT143" s="10"/>
      <c r="AU143" s="10"/>
      <c r="AV143" s="10"/>
      <c r="AW143" s="10"/>
      <c r="AX143" s="10"/>
      <c r="AY143" s="10"/>
      <c r="AZ143" s="10"/>
      <c r="BA143" s="10"/>
      <c r="BB143" s="10"/>
      <c r="BC143" s="10"/>
      <c r="BD143" s="10"/>
      <c r="BE143" s="10"/>
      <c r="BF143" s="10"/>
      <c r="BG143" s="10"/>
      <c r="BH143" s="10"/>
      <c r="BI143" s="10"/>
      <c r="BJ143" s="10"/>
      <c r="BK143" s="10"/>
      <c r="BL143" s="10"/>
    </row>
    <row r="144" spans="1:64" s="8" customFormat="1" x14ac:dyDescent="0.2">
      <c r="E144" s="85"/>
      <c r="AR144" s="10"/>
      <c r="AS144" s="10"/>
      <c r="AT144" s="10"/>
      <c r="AU144" s="10"/>
      <c r="AV144" s="10"/>
      <c r="AW144" s="10"/>
      <c r="AX144" s="10"/>
      <c r="AY144" s="10"/>
      <c r="AZ144" s="10"/>
      <c r="BA144" s="10"/>
      <c r="BB144" s="10"/>
      <c r="BC144" s="10"/>
      <c r="BD144" s="10"/>
      <c r="BE144" s="10"/>
      <c r="BF144" s="10"/>
      <c r="BG144" s="10"/>
      <c r="BH144" s="10"/>
      <c r="BI144" s="10"/>
      <c r="BJ144" s="10"/>
      <c r="BK144" s="10"/>
      <c r="BL144" s="10"/>
    </row>
    <row r="145" spans="5:64" s="8" customFormat="1" x14ac:dyDescent="0.2">
      <c r="E145" s="85"/>
      <c r="AR145" s="10"/>
      <c r="AS145" s="10"/>
      <c r="AT145" s="10"/>
      <c r="AU145" s="10"/>
      <c r="AV145" s="10"/>
      <c r="AW145" s="10"/>
      <c r="AX145" s="10"/>
      <c r="AY145" s="10"/>
      <c r="AZ145" s="10"/>
      <c r="BA145" s="10"/>
      <c r="BB145" s="10"/>
      <c r="BC145" s="10"/>
      <c r="BD145" s="10"/>
      <c r="BE145" s="10"/>
      <c r="BF145" s="10"/>
      <c r="BG145" s="10"/>
      <c r="BH145" s="10"/>
      <c r="BI145" s="10"/>
      <c r="BJ145" s="10"/>
      <c r="BK145" s="10"/>
      <c r="BL145" s="10"/>
    </row>
    <row r="146" spans="5:64" s="8" customFormat="1" x14ac:dyDescent="0.2">
      <c r="E146" s="85"/>
      <c r="AR146" s="10"/>
      <c r="AS146" s="10"/>
      <c r="AT146" s="10"/>
      <c r="AU146" s="10"/>
      <c r="AV146" s="10"/>
      <c r="AW146" s="10"/>
      <c r="AX146" s="10"/>
      <c r="AY146" s="10"/>
      <c r="AZ146" s="10"/>
      <c r="BA146" s="10"/>
      <c r="BB146" s="10"/>
      <c r="BC146" s="10"/>
      <c r="BD146" s="10"/>
      <c r="BE146" s="10"/>
      <c r="BF146" s="10"/>
      <c r="BG146" s="10"/>
      <c r="BH146" s="10"/>
      <c r="BI146" s="10"/>
      <c r="BJ146" s="10"/>
      <c r="BK146" s="10"/>
      <c r="BL146" s="10"/>
    </row>
    <row r="147" spans="5:64" s="8" customFormat="1" x14ac:dyDescent="0.2">
      <c r="E147" s="85"/>
      <c r="AR147" s="10"/>
      <c r="AS147" s="10"/>
      <c r="AT147" s="10"/>
      <c r="AU147" s="10"/>
      <c r="AV147" s="10"/>
      <c r="AW147" s="10"/>
      <c r="AX147" s="10"/>
      <c r="AY147" s="10"/>
      <c r="AZ147" s="10"/>
      <c r="BA147" s="10"/>
      <c r="BB147" s="10"/>
      <c r="BC147" s="10"/>
      <c r="BD147" s="10"/>
      <c r="BE147" s="10"/>
      <c r="BF147" s="10"/>
      <c r="BG147" s="10"/>
      <c r="BH147" s="10"/>
      <c r="BI147" s="10"/>
      <c r="BJ147" s="10"/>
      <c r="BK147" s="10"/>
      <c r="BL147" s="10"/>
    </row>
    <row r="148" spans="5:64" s="8" customFormat="1" x14ac:dyDescent="0.2">
      <c r="E148" s="85"/>
      <c r="AR148" s="10"/>
      <c r="AS148" s="10"/>
      <c r="AT148" s="10"/>
      <c r="AU148" s="10"/>
      <c r="AV148" s="10"/>
      <c r="AW148" s="10"/>
      <c r="AX148" s="10"/>
      <c r="AY148" s="10"/>
      <c r="AZ148" s="10"/>
      <c r="BA148" s="10"/>
      <c r="BB148" s="10"/>
      <c r="BC148" s="10"/>
      <c r="BD148" s="10"/>
      <c r="BE148" s="10"/>
      <c r="BF148" s="10"/>
      <c r="BG148" s="10"/>
      <c r="BH148" s="10"/>
      <c r="BI148" s="10"/>
      <c r="BJ148" s="10"/>
      <c r="BK148" s="10"/>
      <c r="BL148" s="10"/>
    </row>
    <row r="149" spans="5:64" s="8" customFormat="1" x14ac:dyDescent="0.2">
      <c r="E149" s="85"/>
      <c r="AR149" s="10"/>
      <c r="AS149" s="10"/>
      <c r="AT149" s="10"/>
      <c r="AU149" s="10"/>
      <c r="AV149" s="10"/>
      <c r="AW149" s="10"/>
      <c r="AX149" s="10"/>
      <c r="AY149" s="10"/>
      <c r="AZ149" s="10"/>
      <c r="BA149" s="10"/>
      <c r="BB149" s="10"/>
      <c r="BC149" s="10"/>
      <c r="BD149" s="10"/>
      <c r="BE149" s="10"/>
      <c r="BF149" s="10"/>
      <c r="BG149" s="10"/>
      <c r="BH149" s="10"/>
      <c r="BI149" s="10"/>
      <c r="BJ149" s="10"/>
      <c r="BK149" s="10"/>
      <c r="BL149" s="10"/>
    </row>
    <row r="150" spans="5:64" s="8" customFormat="1" x14ac:dyDescent="0.2">
      <c r="E150" s="85"/>
      <c r="AR150" s="10"/>
      <c r="AS150" s="10"/>
      <c r="AT150" s="10"/>
      <c r="AU150" s="10"/>
      <c r="AV150" s="10"/>
      <c r="AW150" s="10"/>
      <c r="AX150" s="10"/>
      <c r="AY150" s="10"/>
      <c r="AZ150" s="10"/>
      <c r="BA150" s="10"/>
      <c r="BB150" s="10"/>
      <c r="BC150" s="10"/>
      <c r="BD150" s="10"/>
      <c r="BE150" s="10"/>
      <c r="BF150" s="10"/>
      <c r="BG150" s="10"/>
      <c r="BH150" s="10"/>
      <c r="BI150" s="10"/>
      <c r="BJ150" s="10"/>
      <c r="BK150" s="10"/>
      <c r="BL150" s="10"/>
    </row>
    <row r="151" spans="5:64" s="8" customFormat="1" x14ac:dyDescent="0.2">
      <c r="E151" s="85"/>
      <c r="AR151" s="10"/>
      <c r="AS151" s="10"/>
      <c r="AT151" s="10"/>
      <c r="AU151" s="10"/>
      <c r="AV151" s="10"/>
      <c r="AW151" s="10"/>
      <c r="AX151" s="10"/>
      <c r="AY151" s="10"/>
      <c r="AZ151" s="10"/>
      <c r="BA151" s="10"/>
      <c r="BB151" s="10"/>
      <c r="BC151" s="10"/>
      <c r="BD151" s="10"/>
      <c r="BE151" s="10"/>
      <c r="BF151" s="10"/>
      <c r="BG151" s="10"/>
      <c r="BH151" s="10"/>
      <c r="BI151" s="10"/>
      <c r="BJ151" s="10"/>
      <c r="BK151" s="10"/>
      <c r="BL151" s="10"/>
    </row>
    <row r="152" spans="5:64" s="8" customFormat="1" x14ac:dyDescent="0.2">
      <c r="E152" s="85"/>
      <c r="AR152" s="10"/>
      <c r="AS152" s="10"/>
      <c r="AT152" s="10"/>
      <c r="AU152" s="10"/>
      <c r="AV152" s="10"/>
      <c r="AW152" s="10"/>
      <c r="AX152" s="10"/>
      <c r="AY152" s="10"/>
      <c r="AZ152" s="10"/>
      <c r="BA152" s="10"/>
      <c r="BB152" s="10"/>
      <c r="BC152" s="10"/>
      <c r="BD152" s="10"/>
      <c r="BE152" s="10"/>
      <c r="BF152" s="10"/>
      <c r="BG152" s="10"/>
      <c r="BH152" s="10"/>
      <c r="BI152" s="10"/>
      <c r="BJ152" s="10"/>
      <c r="BK152" s="10"/>
      <c r="BL152" s="10"/>
    </row>
    <row r="153" spans="5:64" s="8" customFormat="1" x14ac:dyDescent="0.2">
      <c r="E153" s="85"/>
      <c r="AR153" s="10"/>
      <c r="AS153" s="10"/>
      <c r="AT153" s="10"/>
      <c r="AU153" s="10"/>
      <c r="AV153" s="10"/>
      <c r="AW153" s="10"/>
      <c r="AX153" s="10"/>
      <c r="AY153" s="10"/>
      <c r="AZ153" s="10"/>
      <c r="BA153" s="10"/>
      <c r="BB153" s="10"/>
      <c r="BC153" s="10"/>
      <c r="BD153" s="10"/>
      <c r="BE153" s="10"/>
      <c r="BF153" s="10"/>
      <c r="BG153" s="10"/>
      <c r="BH153" s="10"/>
      <c r="BI153" s="10"/>
      <c r="BJ153" s="10"/>
      <c r="BK153" s="10"/>
      <c r="BL153" s="10"/>
    </row>
    <row r="154" spans="5:64" s="8" customFormat="1" x14ac:dyDescent="0.2">
      <c r="E154" s="85"/>
      <c r="AR154" s="10"/>
      <c r="AS154" s="10"/>
      <c r="AT154" s="10"/>
      <c r="AU154" s="10"/>
      <c r="AV154" s="10"/>
      <c r="AW154" s="10"/>
      <c r="AX154" s="10"/>
      <c r="AY154" s="10"/>
      <c r="AZ154" s="10"/>
      <c r="BA154" s="10"/>
      <c r="BB154" s="10"/>
      <c r="BC154" s="10"/>
      <c r="BD154" s="10"/>
      <c r="BE154" s="10"/>
      <c r="BF154" s="10"/>
      <c r="BG154" s="10"/>
      <c r="BH154" s="10"/>
      <c r="BI154" s="10"/>
      <c r="BJ154" s="10"/>
      <c r="BK154" s="10"/>
      <c r="BL154" s="10"/>
    </row>
    <row r="155" spans="5:64" s="8" customFormat="1" x14ac:dyDescent="0.2">
      <c r="E155" s="85"/>
      <c r="AR155" s="10"/>
      <c r="AS155" s="10"/>
      <c r="AT155" s="10"/>
      <c r="AU155" s="10"/>
      <c r="AV155" s="10"/>
      <c r="AW155" s="10"/>
      <c r="AX155" s="10"/>
      <c r="AY155" s="10"/>
      <c r="AZ155" s="10"/>
      <c r="BA155" s="10"/>
      <c r="BB155" s="10"/>
      <c r="BC155" s="10"/>
      <c r="BD155" s="10"/>
      <c r="BE155" s="10"/>
      <c r="BF155" s="10"/>
      <c r="BG155" s="10"/>
      <c r="BH155" s="10"/>
      <c r="BI155" s="10"/>
      <c r="BJ155" s="10"/>
      <c r="BK155" s="10"/>
      <c r="BL155" s="10"/>
    </row>
    <row r="156" spans="5:64" s="8" customFormat="1" x14ac:dyDescent="0.2">
      <c r="E156" s="85"/>
      <c r="AR156" s="10"/>
      <c r="AS156" s="10"/>
      <c r="AT156" s="10"/>
      <c r="AU156" s="10"/>
      <c r="AV156" s="10"/>
      <c r="AW156" s="10"/>
      <c r="AX156" s="10"/>
      <c r="AY156" s="10"/>
      <c r="AZ156" s="10"/>
      <c r="BA156" s="10"/>
      <c r="BB156" s="10"/>
      <c r="BC156" s="10"/>
      <c r="BD156" s="10"/>
      <c r="BE156" s="10"/>
      <c r="BF156" s="10"/>
      <c r="BG156" s="10"/>
      <c r="BH156" s="10"/>
      <c r="BI156" s="10"/>
      <c r="BJ156" s="10"/>
      <c r="BK156" s="10"/>
      <c r="BL156" s="10"/>
    </row>
    <row r="157" spans="5:64" s="8" customFormat="1" x14ac:dyDescent="0.2">
      <c r="E157" s="85"/>
      <c r="AR157" s="10"/>
      <c r="AS157" s="10"/>
      <c r="AT157" s="10"/>
      <c r="AU157" s="10"/>
      <c r="AV157" s="10"/>
      <c r="AW157" s="10"/>
      <c r="AX157" s="10"/>
      <c r="AY157" s="10"/>
      <c r="AZ157" s="10"/>
      <c r="BA157" s="10"/>
      <c r="BB157" s="10"/>
      <c r="BC157" s="10"/>
      <c r="BD157" s="10"/>
      <c r="BE157" s="10"/>
      <c r="BF157" s="10"/>
      <c r="BG157" s="10"/>
      <c r="BH157" s="10"/>
      <c r="BI157" s="10"/>
      <c r="BJ157" s="10"/>
      <c r="BK157" s="10"/>
      <c r="BL157" s="10"/>
    </row>
    <row r="158" spans="5:64" s="8" customFormat="1" x14ac:dyDescent="0.2">
      <c r="E158" s="85"/>
      <c r="AR158" s="10"/>
      <c r="AS158" s="10"/>
      <c r="AT158" s="10"/>
      <c r="AU158" s="10"/>
      <c r="AV158" s="10"/>
      <c r="AW158" s="10"/>
      <c r="AX158" s="10"/>
      <c r="AY158" s="10"/>
      <c r="AZ158" s="10"/>
      <c r="BA158" s="10"/>
      <c r="BB158" s="10"/>
      <c r="BC158" s="10"/>
      <c r="BD158" s="10"/>
      <c r="BE158" s="10"/>
      <c r="BF158" s="10"/>
      <c r="BG158" s="10"/>
      <c r="BH158" s="10"/>
      <c r="BI158" s="10"/>
      <c r="BJ158" s="10"/>
      <c r="BK158" s="10"/>
      <c r="BL158" s="10"/>
    </row>
    <row r="159" spans="5:64" s="8" customFormat="1" x14ac:dyDescent="0.2">
      <c r="E159" s="85"/>
      <c r="AR159" s="10"/>
      <c r="AS159" s="10"/>
      <c r="AT159" s="10"/>
      <c r="AU159" s="10"/>
      <c r="AV159" s="10"/>
      <c r="AW159" s="10"/>
      <c r="AX159" s="10"/>
      <c r="AY159" s="10"/>
      <c r="AZ159" s="10"/>
      <c r="BA159" s="10"/>
      <c r="BB159" s="10"/>
      <c r="BC159" s="10"/>
      <c r="BD159" s="10"/>
      <c r="BE159" s="10"/>
      <c r="BF159" s="10"/>
      <c r="BG159" s="10"/>
      <c r="BH159" s="10"/>
      <c r="BI159" s="10"/>
      <c r="BJ159" s="10"/>
      <c r="BK159" s="10"/>
      <c r="BL159" s="10"/>
    </row>
    <row r="160" spans="5:64" s="8" customFormat="1" x14ac:dyDescent="0.2">
      <c r="E160" s="85"/>
      <c r="AR160" s="10"/>
      <c r="AS160" s="10"/>
      <c r="AT160" s="10"/>
      <c r="AU160" s="10"/>
      <c r="AV160" s="10"/>
      <c r="AW160" s="10"/>
      <c r="AX160" s="10"/>
      <c r="AY160" s="10"/>
      <c r="AZ160" s="10"/>
      <c r="BA160" s="10"/>
      <c r="BB160" s="10"/>
      <c r="BC160" s="10"/>
      <c r="BD160" s="10"/>
      <c r="BE160" s="10"/>
      <c r="BF160" s="10"/>
      <c r="BG160" s="10"/>
      <c r="BH160" s="10"/>
      <c r="BI160" s="10"/>
      <c r="BJ160" s="10"/>
      <c r="BK160" s="10"/>
      <c r="BL160" s="10"/>
    </row>
    <row r="161" spans="5:64" s="8" customFormat="1" x14ac:dyDescent="0.2">
      <c r="E161" s="85"/>
      <c r="AR161" s="10"/>
      <c r="AS161" s="10"/>
      <c r="AT161" s="10"/>
      <c r="AU161" s="10"/>
      <c r="AV161" s="10"/>
      <c r="AW161" s="10"/>
      <c r="AX161" s="10"/>
      <c r="AY161" s="10"/>
      <c r="AZ161" s="10"/>
      <c r="BA161" s="10"/>
      <c r="BB161" s="10"/>
      <c r="BC161" s="10"/>
      <c r="BD161" s="10"/>
      <c r="BE161" s="10"/>
      <c r="BF161" s="10"/>
      <c r="BG161" s="10"/>
      <c r="BH161" s="10"/>
      <c r="BI161" s="10"/>
      <c r="BJ161" s="10"/>
      <c r="BK161" s="10"/>
      <c r="BL161" s="10"/>
    </row>
    <row r="162" spans="5:64" s="8" customFormat="1" x14ac:dyDescent="0.2">
      <c r="E162" s="85"/>
      <c r="AR162" s="10"/>
      <c r="AS162" s="10"/>
      <c r="AT162" s="10"/>
      <c r="AU162" s="10"/>
      <c r="AV162" s="10"/>
      <c r="AW162" s="10"/>
      <c r="AX162" s="10"/>
      <c r="AY162" s="10"/>
      <c r="AZ162" s="10"/>
      <c r="BA162" s="10"/>
      <c r="BB162" s="10"/>
      <c r="BC162" s="10"/>
      <c r="BD162" s="10"/>
      <c r="BE162" s="10"/>
      <c r="BF162" s="10"/>
      <c r="BG162" s="10"/>
      <c r="BH162" s="10"/>
      <c r="BI162" s="10"/>
      <c r="BJ162" s="10"/>
      <c r="BK162" s="10"/>
      <c r="BL162" s="10"/>
    </row>
    <row r="163" spans="5:64" s="8" customFormat="1" x14ac:dyDescent="0.2">
      <c r="E163" s="85"/>
      <c r="AR163" s="10"/>
      <c r="AS163" s="10"/>
      <c r="AT163" s="10"/>
      <c r="AU163" s="10"/>
      <c r="AV163" s="10"/>
      <c r="AW163" s="10"/>
      <c r="AX163" s="10"/>
      <c r="AY163" s="10"/>
      <c r="AZ163" s="10"/>
      <c r="BA163" s="10"/>
      <c r="BB163" s="10"/>
      <c r="BC163" s="10"/>
      <c r="BD163" s="10"/>
      <c r="BE163" s="10"/>
      <c r="BF163" s="10"/>
      <c r="BG163" s="10"/>
      <c r="BH163" s="10"/>
      <c r="BI163" s="10"/>
      <c r="BJ163" s="10"/>
      <c r="BK163" s="10"/>
      <c r="BL163" s="10"/>
    </row>
    <row r="164" spans="5:64" s="8" customFormat="1" x14ac:dyDescent="0.2">
      <c r="E164" s="85"/>
      <c r="AR164" s="10"/>
      <c r="AS164" s="10"/>
      <c r="AT164" s="10"/>
      <c r="AU164" s="10"/>
      <c r="AV164" s="10"/>
      <c r="AW164" s="10"/>
      <c r="AX164" s="10"/>
      <c r="AY164" s="10"/>
      <c r="AZ164" s="10"/>
      <c r="BA164" s="10"/>
      <c r="BB164" s="10"/>
      <c r="BC164" s="10"/>
      <c r="BD164" s="10"/>
      <c r="BE164" s="10"/>
      <c r="BF164" s="10"/>
      <c r="BG164" s="10"/>
      <c r="BH164" s="10"/>
      <c r="BI164" s="10"/>
      <c r="BJ164" s="10"/>
      <c r="BK164" s="10"/>
      <c r="BL164" s="10"/>
    </row>
    <row r="165" spans="5:64" s="8" customFormat="1" x14ac:dyDescent="0.2">
      <c r="E165" s="85"/>
      <c r="AR165" s="10"/>
      <c r="AS165" s="10"/>
      <c r="AT165" s="10"/>
      <c r="AU165" s="10"/>
      <c r="AV165" s="10"/>
      <c r="AW165" s="10"/>
      <c r="AX165" s="10"/>
      <c r="AY165" s="10"/>
      <c r="AZ165" s="10"/>
      <c r="BA165" s="10"/>
      <c r="BB165" s="10"/>
      <c r="BC165" s="10"/>
      <c r="BD165" s="10"/>
      <c r="BE165" s="10"/>
      <c r="BF165" s="10"/>
      <c r="BG165" s="10"/>
      <c r="BH165" s="10"/>
      <c r="BI165" s="10"/>
      <c r="BJ165" s="10"/>
      <c r="BK165" s="10"/>
      <c r="BL165" s="10"/>
    </row>
    <row r="166" spans="5:64" s="8" customFormat="1" x14ac:dyDescent="0.2">
      <c r="E166" s="85"/>
      <c r="AR166" s="10"/>
      <c r="AS166" s="10"/>
      <c r="AT166" s="10"/>
      <c r="AU166" s="10"/>
      <c r="AV166" s="10"/>
      <c r="AW166" s="10"/>
      <c r="AX166" s="10"/>
      <c r="AY166" s="10"/>
      <c r="AZ166" s="10"/>
      <c r="BA166" s="10"/>
      <c r="BB166" s="10"/>
      <c r="BC166" s="10"/>
      <c r="BD166" s="10"/>
      <c r="BE166" s="10"/>
      <c r="BF166" s="10"/>
      <c r="BG166" s="10"/>
      <c r="BH166" s="10"/>
      <c r="BI166" s="10"/>
      <c r="BJ166" s="10"/>
      <c r="BK166" s="10"/>
      <c r="BL166" s="10"/>
    </row>
    <row r="167" spans="5:64" s="8" customFormat="1" x14ac:dyDescent="0.2">
      <c r="E167" s="85"/>
      <c r="AR167" s="10"/>
      <c r="AS167" s="10"/>
      <c r="AT167" s="10"/>
      <c r="AU167" s="10"/>
      <c r="AV167" s="10"/>
      <c r="AW167" s="10"/>
      <c r="AX167" s="10"/>
      <c r="AY167" s="10"/>
      <c r="AZ167" s="10"/>
      <c r="BA167" s="10"/>
      <c r="BB167" s="10"/>
      <c r="BC167" s="10"/>
      <c r="BD167" s="10"/>
      <c r="BE167" s="10"/>
      <c r="BF167" s="10"/>
      <c r="BG167" s="10"/>
      <c r="BH167" s="10"/>
      <c r="BI167" s="10"/>
      <c r="BJ167" s="10"/>
      <c r="BK167" s="10"/>
      <c r="BL167" s="10"/>
    </row>
    <row r="168" spans="5:64" s="8" customFormat="1" x14ac:dyDescent="0.2">
      <c r="E168" s="85"/>
      <c r="AR168" s="10"/>
      <c r="AS168" s="10"/>
      <c r="AT168" s="10"/>
      <c r="AU168" s="10"/>
      <c r="AV168" s="10"/>
      <c r="AW168" s="10"/>
      <c r="AX168" s="10"/>
      <c r="AY168" s="10"/>
      <c r="AZ168" s="10"/>
      <c r="BA168" s="10"/>
      <c r="BB168" s="10"/>
      <c r="BC168" s="10"/>
      <c r="BD168" s="10"/>
      <c r="BE168" s="10"/>
      <c r="BF168" s="10"/>
      <c r="BG168" s="10"/>
      <c r="BH168" s="10"/>
      <c r="BI168" s="10"/>
      <c r="BJ168" s="10"/>
      <c r="BK168" s="10"/>
      <c r="BL168" s="10"/>
    </row>
    <row r="169" spans="5:64" s="8" customFormat="1" x14ac:dyDescent="0.2">
      <c r="E169" s="85"/>
      <c r="AR169" s="10"/>
      <c r="AS169" s="10"/>
      <c r="AT169" s="10"/>
      <c r="AU169" s="10"/>
      <c r="AV169" s="10"/>
      <c r="AW169" s="10"/>
      <c r="AX169" s="10"/>
      <c r="AY169" s="10"/>
      <c r="AZ169" s="10"/>
      <c r="BA169" s="10"/>
      <c r="BB169" s="10"/>
      <c r="BC169" s="10"/>
      <c r="BD169" s="10"/>
      <c r="BE169" s="10"/>
      <c r="BF169" s="10"/>
      <c r="BG169" s="10"/>
      <c r="BH169" s="10"/>
      <c r="BI169" s="10"/>
      <c r="BJ169" s="10"/>
      <c r="BK169" s="10"/>
      <c r="BL169" s="10"/>
    </row>
    <row r="170" spans="5:64" s="8" customFormat="1" x14ac:dyDescent="0.2">
      <c r="E170" s="85"/>
      <c r="AR170" s="10"/>
      <c r="AS170" s="10"/>
      <c r="AT170" s="10"/>
      <c r="AU170" s="10"/>
      <c r="AV170" s="10"/>
      <c r="AW170" s="10"/>
      <c r="AX170" s="10"/>
      <c r="AY170" s="10"/>
      <c r="AZ170" s="10"/>
      <c r="BA170" s="10"/>
      <c r="BB170" s="10"/>
      <c r="BC170" s="10"/>
      <c r="BD170" s="10"/>
      <c r="BE170" s="10"/>
      <c r="BF170" s="10"/>
      <c r="BG170" s="10"/>
      <c r="BH170" s="10"/>
      <c r="BI170" s="10"/>
      <c r="BJ170" s="10"/>
      <c r="BK170" s="10"/>
      <c r="BL170" s="10"/>
    </row>
    <row r="171" spans="5:64" s="8" customFormat="1" x14ac:dyDescent="0.2">
      <c r="E171" s="85"/>
      <c r="AR171" s="10"/>
      <c r="AS171" s="10"/>
      <c r="AT171" s="10"/>
      <c r="AU171" s="10"/>
      <c r="AV171" s="10"/>
      <c r="AW171" s="10"/>
      <c r="AX171" s="10"/>
      <c r="AY171" s="10"/>
      <c r="AZ171" s="10"/>
      <c r="BA171" s="10"/>
      <c r="BB171" s="10"/>
      <c r="BC171" s="10"/>
      <c r="BD171" s="10"/>
      <c r="BE171" s="10"/>
      <c r="BF171" s="10"/>
      <c r="BG171" s="10"/>
      <c r="BH171" s="10"/>
      <c r="BI171" s="10"/>
      <c r="BJ171" s="10"/>
      <c r="BK171" s="10"/>
      <c r="BL171" s="10"/>
    </row>
    <row r="172" spans="5:64" s="8" customFormat="1" x14ac:dyDescent="0.2">
      <c r="E172" s="85"/>
      <c r="AR172" s="10"/>
      <c r="AS172" s="10"/>
      <c r="AT172" s="10"/>
      <c r="AU172" s="10"/>
      <c r="AV172" s="10"/>
      <c r="AW172" s="10"/>
      <c r="AX172" s="10"/>
      <c r="AY172" s="10"/>
      <c r="AZ172" s="10"/>
      <c r="BA172" s="10"/>
      <c r="BB172" s="10"/>
      <c r="BC172" s="10"/>
      <c r="BD172" s="10"/>
      <c r="BE172" s="10"/>
      <c r="BF172" s="10"/>
      <c r="BG172" s="10"/>
      <c r="BH172" s="10"/>
      <c r="BI172" s="10"/>
      <c r="BJ172" s="10"/>
      <c r="BK172" s="10"/>
      <c r="BL172" s="10"/>
    </row>
    <row r="173" spans="5:64" s="8" customFormat="1" x14ac:dyDescent="0.2">
      <c r="E173" s="85"/>
      <c r="AR173" s="10"/>
      <c r="AS173" s="10"/>
      <c r="AT173" s="10"/>
      <c r="AU173" s="10"/>
      <c r="AV173" s="10"/>
      <c r="AW173" s="10"/>
      <c r="AX173" s="10"/>
      <c r="AY173" s="10"/>
      <c r="AZ173" s="10"/>
      <c r="BA173" s="10"/>
      <c r="BB173" s="10"/>
      <c r="BC173" s="10"/>
      <c r="BD173" s="10"/>
      <c r="BE173" s="10"/>
      <c r="BF173" s="10"/>
      <c r="BG173" s="10"/>
      <c r="BH173" s="10"/>
      <c r="BI173" s="10"/>
      <c r="BJ173" s="10"/>
      <c r="BK173" s="10"/>
      <c r="BL173" s="10"/>
    </row>
    <row r="174" spans="5:64" s="8" customFormat="1" x14ac:dyDescent="0.2">
      <c r="E174" s="85"/>
      <c r="AR174" s="10"/>
      <c r="AS174" s="10"/>
      <c r="AT174" s="10"/>
      <c r="AU174" s="10"/>
      <c r="AV174" s="10"/>
      <c r="AW174" s="10"/>
      <c r="AX174" s="10"/>
      <c r="AY174" s="10"/>
      <c r="AZ174" s="10"/>
      <c r="BA174" s="10"/>
      <c r="BB174" s="10"/>
      <c r="BC174" s="10"/>
      <c r="BD174" s="10"/>
      <c r="BE174" s="10"/>
      <c r="BF174" s="10"/>
      <c r="BG174" s="10"/>
      <c r="BH174" s="10"/>
      <c r="BI174" s="10"/>
      <c r="BJ174" s="10"/>
      <c r="BK174" s="10"/>
      <c r="BL174" s="10"/>
    </row>
    <row r="175" spans="5:64" s="8" customFormat="1" x14ac:dyDescent="0.2">
      <c r="E175" s="85"/>
      <c r="AR175" s="10"/>
      <c r="AS175" s="10"/>
      <c r="AT175" s="10"/>
      <c r="AU175" s="10"/>
      <c r="AV175" s="10"/>
      <c r="AW175" s="10"/>
      <c r="AX175" s="10"/>
      <c r="AY175" s="10"/>
      <c r="AZ175" s="10"/>
      <c r="BA175" s="10"/>
      <c r="BB175" s="10"/>
      <c r="BC175" s="10"/>
      <c r="BD175" s="10"/>
      <c r="BE175" s="10"/>
      <c r="BF175" s="10"/>
      <c r="BG175" s="10"/>
      <c r="BH175" s="10"/>
      <c r="BI175" s="10"/>
      <c r="BJ175" s="10"/>
      <c r="BK175" s="10"/>
      <c r="BL175" s="10"/>
    </row>
    <row r="176" spans="5:64" s="8" customFormat="1" x14ac:dyDescent="0.2">
      <c r="E176" s="85"/>
      <c r="AR176" s="10"/>
      <c r="AS176" s="10"/>
      <c r="AT176" s="10"/>
      <c r="AU176" s="10"/>
      <c r="AV176" s="10"/>
      <c r="AW176" s="10"/>
      <c r="AX176" s="10"/>
      <c r="AY176" s="10"/>
      <c r="AZ176" s="10"/>
      <c r="BA176" s="10"/>
      <c r="BB176" s="10"/>
      <c r="BC176" s="10"/>
      <c r="BD176" s="10"/>
      <c r="BE176" s="10"/>
      <c r="BF176" s="10"/>
      <c r="BG176" s="10"/>
      <c r="BH176" s="10"/>
      <c r="BI176" s="10"/>
      <c r="BJ176" s="10"/>
      <c r="BK176" s="10"/>
      <c r="BL176" s="10"/>
    </row>
    <row r="177" spans="5:64" s="8" customFormat="1" x14ac:dyDescent="0.2">
      <c r="E177" s="85"/>
      <c r="AR177" s="10"/>
      <c r="AS177" s="10"/>
      <c r="AT177" s="10"/>
      <c r="AU177" s="10"/>
      <c r="AV177" s="10"/>
      <c r="AW177" s="10"/>
      <c r="AX177" s="10"/>
      <c r="AY177" s="10"/>
      <c r="AZ177" s="10"/>
      <c r="BA177" s="10"/>
      <c r="BB177" s="10"/>
      <c r="BC177" s="10"/>
      <c r="BD177" s="10"/>
      <c r="BE177" s="10"/>
      <c r="BF177" s="10"/>
      <c r="BG177" s="10"/>
      <c r="BH177" s="10"/>
      <c r="BI177" s="10"/>
      <c r="BJ177" s="10"/>
      <c r="BK177" s="10"/>
      <c r="BL177" s="10"/>
    </row>
    <row r="178" spans="5:64" s="8" customFormat="1" x14ac:dyDescent="0.2">
      <c r="E178" s="85"/>
      <c r="AR178" s="10"/>
      <c r="AS178" s="10"/>
      <c r="AT178" s="10"/>
      <c r="AU178" s="10"/>
      <c r="AV178" s="10"/>
      <c r="AW178" s="10"/>
      <c r="AX178" s="10"/>
      <c r="AY178" s="10"/>
      <c r="AZ178" s="10"/>
      <c r="BA178" s="10"/>
      <c r="BB178" s="10"/>
      <c r="BC178" s="10"/>
      <c r="BD178" s="10"/>
      <c r="BE178" s="10"/>
      <c r="BF178" s="10"/>
      <c r="BG178" s="10"/>
      <c r="BH178" s="10"/>
      <c r="BI178" s="10"/>
      <c r="BJ178" s="10"/>
      <c r="BK178" s="10"/>
      <c r="BL178" s="10"/>
    </row>
    <row r="179" spans="5:64" s="8" customFormat="1" x14ac:dyDescent="0.2">
      <c r="E179" s="85"/>
      <c r="AR179" s="10"/>
      <c r="AS179" s="10"/>
      <c r="AT179" s="10"/>
      <c r="AU179" s="10"/>
      <c r="AV179" s="10"/>
      <c r="AW179" s="10"/>
      <c r="AX179" s="10"/>
      <c r="AY179" s="10"/>
      <c r="AZ179" s="10"/>
      <c r="BA179" s="10"/>
      <c r="BB179" s="10"/>
      <c r="BC179" s="10"/>
      <c r="BD179" s="10"/>
      <c r="BE179" s="10"/>
      <c r="BF179" s="10"/>
      <c r="BG179" s="10"/>
      <c r="BH179" s="10"/>
      <c r="BI179" s="10"/>
      <c r="BJ179" s="10"/>
      <c r="BK179" s="10"/>
      <c r="BL179" s="10"/>
    </row>
    <row r="180" spans="5:64" s="8" customFormat="1" x14ac:dyDescent="0.2">
      <c r="E180" s="85"/>
      <c r="AR180" s="10"/>
      <c r="AS180" s="10"/>
      <c r="AT180" s="10"/>
      <c r="AU180" s="10"/>
      <c r="AV180" s="10"/>
      <c r="AW180" s="10"/>
      <c r="AX180" s="10"/>
      <c r="AY180" s="10"/>
      <c r="AZ180" s="10"/>
      <c r="BA180" s="10"/>
      <c r="BB180" s="10"/>
      <c r="BC180" s="10"/>
      <c r="BD180" s="10"/>
      <c r="BE180" s="10"/>
      <c r="BF180" s="10"/>
      <c r="BG180" s="10"/>
      <c r="BH180" s="10"/>
      <c r="BI180" s="10"/>
      <c r="BJ180" s="10"/>
      <c r="BK180" s="10"/>
      <c r="BL180" s="10"/>
    </row>
    <row r="181" spans="5:64" s="8" customFormat="1" x14ac:dyDescent="0.2">
      <c r="E181" s="85"/>
      <c r="AR181" s="10"/>
      <c r="AS181" s="10"/>
      <c r="AT181" s="10"/>
      <c r="AU181" s="10"/>
      <c r="AV181" s="10"/>
      <c r="AW181" s="10"/>
      <c r="AX181" s="10"/>
      <c r="AY181" s="10"/>
      <c r="AZ181" s="10"/>
      <c r="BA181" s="10"/>
      <c r="BB181" s="10"/>
      <c r="BC181" s="10"/>
      <c r="BD181" s="10"/>
      <c r="BE181" s="10"/>
      <c r="BF181" s="10"/>
      <c r="BG181" s="10"/>
      <c r="BH181" s="10"/>
      <c r="BI181" s="10"/>
      <c r="BJ181" s="10"/>
      <c r="BK181" s="10"/>
      <c r="BL181" s="10"/>
    </row>
    <row r="182" spans="5:64" s="8" customFormat="1" x14ac:dyDescent="0.2">
      <c r="E182" s="85"/>
      <c r="AR182" s="10"/>
      <c r="AS182" s="10"/>
      <c r="AT182" s="10"/>
      <c r="AU182" s="10"/>
      <c r="AV182" s="10"/>
      <c r="AW182" s="10"/>
      <c r="AX182" s="10"/>
      <c r="AY182" s="10"/>
      <c r="AZ182" s="10"/>
      <c r="BA182" s="10"/>
      <c r="BB182" s="10"/>
      <c r="BC182" s="10"/>
      <c r="BD182" s="10"/>
      <c r="BE182" s="10"/>
      <c r="BF182" s="10"/>
      <c r="BG182" s="10"/>
      <c r="BH182" s="10"/>
      <c r="BI182" s="10"/>
      <c r="BJ182" s="10"/>
      <c r="BK182" s="10"/>
      <c r="BL182" s="10"/>
    </row>
    <row r="183" spans="5:64" s="8" customFormat="1" x14ac:dyDescent="0.2">
      <c r="E183" s="85"/>
      <c r="AR183" s="10"/>
      <c r="AS183" s="10"/>
      <c r="AT183" s="10"/>
      <c r="AU183" s="10"/>
      <c r="AV183" s="10"/>
      <c r="AW183" s="10"/>
      <c r="AX183" s="10"/>
      <c r="AY183" s="10"/>
      <c r="AZ183" s="10"/>
      <c r="BA183" s="10"/>
      <c r="BB183" s="10"/>
      <c r="BC183" s="10"/>
      <c r="BD183" s="10"/>
      <c r="BE183" s="10"/>
      <c r="BF183" s="10"/>
      <c r="BG183" s="10"/>
      <c r="BH183" s="10"/>
      <c r="BI183" s="10"/>
      <c r="BJ183" s="10"/>
      <c r="BK183" s="10"/>
      <c r="BL183" s="10"/>
    </row>
    <row r="184" spans="5:64" s="8" customFormat="1" x14ac:dyDescent="0.2">
      <c r="E184" s="85"/>
      <c r="AR184" s="10"/>
      <c r="AS184" s="10"/>
      <c r="AT184" s="10"/>
      <c r="AU184" s="10"/>
      <c r="AV184" s="10"/>
      <c r="AW184" s="10"/>
      <c r="AX184" s="10"/>
      <c r="AY184" s="10"/>
      <c r="AZ184" s="10"/>
      <c r="BA184" s="10"/>
      <c r="BB184" s="10"/>
      <c r="BC184" s="10"/>
      <c r="BD184" s="10"/>
      <c r="BE184" s="10"/>
      <c r="BF184" s="10"/>
      <c r="BG184" s="10"/>
      <c r="BH184" s="10"/>
      <c r="BI184" s="10"/>
      <c r="BJ184" s="10"/>
      <c r="BK184" s="10"/>
      <c r="BL184" s="10"/>
    </row>
    <row r="185" spans="5:64" s="8" customFormat="1" x14ac:dyDescent="0.2">
      <c r="E185" s="85"/>
      <c r="AR185" s="10"/>
      <c r="AS185" s="10"/>
      <c r="AT185" s="10"/>
      <c r="AU185" s="10"/>
      <c r="AV185" s="10"/>
      <c r="AW185" s="10"/>
      <c r="AX185" s="10"/>
      <c r="AY185" s="10"/>
      <c r="AZ185" s="10"/>
      <c r="BA185" s="10"/>
      <c r="BB185" s="10"/>
      <c r="BC185" s="10"/>
      <c r="BD185" s="10"/>
      <c r="BE185" s="10"/>
      <c r="BF185" s="10"/>
      <c r="BG185" s="10"/>
      <c r="BH185" s="10"/>
      <c r="BI185" s="10"/>
      <c r="BJ185" s="10"/>
      <c r="BK185" s="10"/>
      <c r="BL185" s="10"/>
    </row>
    <row r="186" spans="5:64" s="8" customFormat="1" x14ac:dyDescent="0.2">
      <c r="E186" s="85"/>
      <c r="AR186" s="10"/>
      <c r="AS186" s="10"/>
      <c r="AT186" s="10"/>
      <c r="AU186" s="10"/>
      <c r="AV186" s="10"/>
      <c r="AW186" s="10"/>
      <c r="AX186" s="10"/>
      <c r="AY186" s="10"/>
      <c r="AZ186" s="10"/>
      <c r="BA186" s="10"/>
      <c r="BB186" s="10"/>
      <c r="BC186" s="10"/>
      <c r="BD186" s="10"/>
      <c r="BE186" s="10"/>
      <c r="BF186" s="10"/>
      <c r="BG186" s="10"/>
      <c r="BH186" s="10"/>
      <c r="BI186" s="10"/>
      <c r="BJ186" s="10"/>
      <c r="BK186" s="10"/>
      <c r="BL186" s="10"/>
    </row>
    <row r="187" spans="5:64" s="8" customFormat="1" x14ac:dyDescent="0.2">
      <c r="E187" s="85"/>
      <c r="AR187" s="10"/>
      <c r="AS187" s="10"/>
      <c r="AT187" s="10"/>
      <c r="AU187" s="10"/>
      <c r="AV187" s="10"/>
      <c r="AW187" s="10"/>
      <c r="AX187" s="10"/>
      <c r="AY187" s="10"/>
      <c r="AZ187" s="10"/>
      <c r="BA187" s="10"/>
      <c r="BB187" s="10"/>
      <c r="BC187" s="10"/>
      <c r="BD187" s="10"/>
      <c r="BE187" s="10"/>
      <c r="BF187" s="10"/>
      <c r="BG187" s="10"/>
      <c r="BH187" s="10"/>
      <c r="BI187" s="10"/>
      <c r="BJ187" s="10"/>
      <c r="BK187" s="10"/>
      <c r="BL187" s="10"/>
    </row>
    <row r="188" spans="5:64" s="8" customFormat="1" x14ac:dyDescent="0.2">
      <c r="E188" s="85"/>
      <c r="AR188" s="10"/>
      <c r="AS188" s="10"/>
      <c r="AT188" s="10"/>
      <c r="AU188" s="10"/>
      <c r="AV188" s="10"/>
      <c r="AW188" s="10"/>
      <c r="AX188" s="10"/>
      <c r="AY188" s="10"/>
      <c r="AZ188" s="10"/>
      <c r="BA188" s="10"/>
      <c r="BB188" s="10"/>
      <c r="BC188" s="10"/>
      <c r="BD188" s="10"/>
      <c r="BE188" s="10"/>
      <c r="BF188" s="10"/>
      <c r="BG188" s="10"/>
      <c r="BH188" s="10"/>
      <c r="BI188" s="10"/>
      <c r="BJ188" s="10"/>
      <c r="BK188" s="10"/>
      <c r="BL188" s="10"/>
    </row>
    <row r="189" spans="5:64" s="8" customFormat="1" x14ac:dyDescent="0.2">
      <c r="E189" s="85"/>
      <c r="AR189" s="10"/>
      <c r="AS189" s="10"/>
      <c r="AT189" s="10"/>
      <c r="AU189" s="10"/>
      <c r="AV189" s="10"/>
      <c r="AW189" s="10"/>
      <c r="AX189" s="10"/>
      <c r="AY189" s="10"/>
      <c r="AZ189" s="10"/>
      <c r="BA189" s="10"/>
      <c r="BB189" s="10"/>
      <c r="BC189" s="10"/>
      <c r="BD189" s="10"/>
      <c r="BE189" s="10"/>
      <c r="BF189" s="10"/>
      <c r="BG189" s="10"/>
      <c r="BH189" s="10"/>
      <c r="BI189" s="10"/>
      <c r="BJ189" s="10"/>
      <c r="BK189" s="10"/>
      <c r="BL189" s="10"/>
    </row>
    <row r="190" spans="5:64" s="8" customFormat="1" x14ac:dyDescent="0.2">
      <c r="E190" s="85"/>
      <c r="AR190" s="10"/>
      <c r="AS190" s="10"/>
      <c r="AT190" s="10"/>
      <c r="AU190" s="10"/>
      <c r="AV190" s="10"/>
      <c r="AW190" s="10"/>
      <c r="AX190" s="10"/>
      <c r="AY190" s="10"/>
      <c r="AZ190" s="10"/>
      <c r="BA190" s="10"/>
      <c r="BB190" s="10"/>
      <c r="BC190" s="10"/>
      <c r="BD190" s="10"/>
      <c r="BE190" s="10"/>
      <c r="BF190" s="10"/>
      <c r="BG190" s="10"/>
      <c r="BH190" s="10"/>
      <c r="BI190" s="10"/>
      <c r="BJ190" s="10"/>
      <c r="BK190" s="10"/>
      <c r="BL190" s="10"/>
    </row>
    <row r="191" spans="5:64" s="8" customFormat="1" x14ac:dyDescent="0.2">
      <c r="E191" s="85"/>
      <c r="AR191" s="10"/>
      <c r="AS191" s="10"/>
      <c r="AT191" s="10"/>
      <c r="AU191" s="10"/>
      <c r="AV191" s="10"/>
      <c r="AW191" s="10"/>
      <c r="AX191" s="10"/>
      <c r="AY191" s="10"/>
      <c r="AZ191" s="10"/>
      <c r="BA191" s="10"/>
      <c r="BB191" s="10"/>
      <c r="BC191" s="10"/>
      <c r="BD191" s="10"/>
      <c r="BE191" s="10"/>
      <c r="BF191" s="10"/>
      <c r="BG191" s="10"/>
      <c r="BH191" s="10"/>
      <c r="BI191" s="10"/>
      <c r="BJ191" s="10"/>
      <c r="BK191" s="10"/>
      <c r="BL191" s="10"/>
    </row>
    <row r="192" spans="5:64" s="8" customFormat="1" x14ac:dyDescent="0.2">
      <c r="E192" s="85"/>
      <c r="AR192" s="10"/>
      <c r="AS192" s="10"/>
      <c r="AT192" s="10"/>
      <c r="AU192" s="10"/>
      <c r="AV192" s="10"/>
      <c r="AW192" s="10"/>
      <c r="AX192" s="10"/>
      <c r="AY192" s="10"/>
      <c r="AZ192" s="10"/>
      <c r="BA192" s="10"/>
      <c r="BB192" s="10"/>
      <c r="BC192" s="10"/>
      <c r="BD192" s="10"/>
      <c r="BE192" s="10"/>
      <c r="BF192" s="10"/>
      <c r="BG192" s="10"/>
      <c r="BH192" s="10"/>
      <c r="BI192" s="10"/>
      <c r="BJ192" s="10"/>
      <c r="BK192" s="10"/>
      <c r="BL192" s="10"/>
    </row>
    <row r="193" spans="5:64" s="8" customFormat="1" x14ac:dyDescent="0.2">
      <c r="E193" s="85"/>
      <c r="AR193" s="10"/>
      <c r="AS193" s="10"/>
      <c r="AT193" s="10"/>
      <c r="AU193" s="10"/>
      <c r="AV193" s="10"/>
      <c r="AW193" s="10"/>
      <c r="AX193" s="10"/>
      <c r="AY193" s="10"/>
      <c r="AZ193" s="10"/>
      <c r="BA193" s="10"/>
      <c r="BB193" s="10"/>
      <c r="BC193" s="10"/>
      <c r="BD193" s="10"/>
      <c r="BE193" s="10"/>
      <c r="BF193" s="10"/>
      <c r="BG193" s="10"/>
      <c r="BH193" s="10"/>
      <c r="BI193" s="10"/>
      <c r="BJ193" s="10"/>
      <c r="BK193" s="10"/>
      <c r="BL193" s="10"/>
    </row>
    <row r="194" spans="5:64" s="8" customFormat="1" x14ac:dyDescent="0.2">
      <c r="E194" s="85"/>
      <c r="AR194" s="10"/>
      <c r="AS194" s="10"/>
      <c r="AT194" s="10"/>
      <c r="AU194" s="10"/>
      <c r="AV194" s="10"/>
      <c r="AW194" s="10"/>
      <c r="AX194" s="10"/>
      <c r="AY194" s="10"/>
      <c r="AZ194" s="10"/>
      <c r="BA194" s="10"/>
      <c r="BB194" s="10"/>
      <c r="BC194" s="10"/>
      <c r="BD194" s="10"/>
      <c r="BE194" s="10"/>
      <c r="BF194" s="10"/>
      <c r="BG194" s="10"/>
      <c r="BH194" s="10"/>
      <c r="BI194" s="10"/>
      <c r="BJ194" s="10"/>
      <c r="BK194" s="10"/>
      <c r="BL194" s="10"/>
    </row>
    <row r="195" spans="5:64" s="8" customFormat="1" x14ac:dyDescent="0.2">
      <c r="E195" s="85"/>
      <c r="AR195" s="10"/>
      <c r="AS195" s="10"/>
      <c r="AT195" s="10"/>
      <c r="AU195" s="10"/>
      <c r="AV195" s="10"/>
      <c r="AW195" s="10"/>
      <c r="AX195" s="10"/>
      <c r="AY195" s="10"/>
      <c r="AZ195" s="10"/>
      <c r="BA195" s="10"/>
      <c r="BB195" s="10"/>
      <c r="BC195" s="10"/>
      <c r="BD195" s="10"/>
      <c r="BE195" s="10"/>
      <c r="BF195" s="10"/>
      <c r="BG195" s="10"/>
      <c r="BH195" s="10"/>
      <c r="BI195" s="10"/>
      <c r="BJ195" s="10"/>
      <c r="BK195" s="10"/>
      <c r="BL195" s="10"/>
    </row>
    <row r="196" spans="5:64" s="8" customFormat="1" x14ac:dyDescent="0.2">
      <c r="E196" s="85"/>
      <c r="AR196" s="10"/>
      <c r="AS196" s="10"/>
      <c r="AT196" s="10"/>
      <c r="AU196" s="10"/>
      <c r="AV196" s="10"/>
      <c r="AW196" s="10"/>
      <c r="AX196" s="10"/>
      <c r="AY196" s="10"/>
      <c r="AZ196" s="10"/>
      <c r="BA196" s="10"/>
      <c r="BB196" s="10"/>
      <c r="BC196" s="10"/>
      <c r="BD196" s="10"/>
      <c r="BE196" s="10"/>
      <c r="BF196" s="10"/>
      <c r="BG196" s="10"/>
      <c r="BH196" s="10"/>
      <c r="BI196" s="10"/>
      <c r="BJ196" s="10"/>
      <c r="BK196" s="10"/>
      <c r="BL196" s="10"/>
    </row>
    <row r="197" spans="5:64" s="8" customFormat="1" x14ac:dyDescent="0.2">
      <c r="E197" s="85"/>
      <c r="AR197" s="10"/>
      <c r="AS197" s="10"/>
      <c r="AT197" s="10"/>
      <c r="AU197" s="10"/>
      <c r="AV197" s="10"/>
      <c r="AW197" s="10"/>
      <c r="AX197" s="10"/>
      <c r="AY197" s="10"/>
      <c r="AZ197" s="10"/>
      <c r="BA197" s="10"/>
      <c r="BB197" s="10"/>
      <c r="BC197" s="10"/>
      <c r="BD197" s="10"/>
      <c r="BE197" s="10"/>
      <c r="BF197" s="10"/>
      <c r="BG197" s="10"/>
      <c r="BH197" s="10"/>
      <c r="BI197" s="10"/>
      <c r="BJ197" s="10"/>
      <c r="BK197" s="10"/>
      <c r="BL197" s="10"/>
    </row>
    <row r="198" spans="5:64" s="8" customFormat="1" x14ac:dyDescent="0.2">
      <c r="E198" s="85"/>
      <c r="AR198" s="10"/>
      <c r="AS198" s="10"/>
      <c r="AT198" s="10"/>
      <c r="AU198" s="10"/>
      <c r="AV198" s="10"/>
      <c r="AW198" s="10"/>
      <c r="AX198" s="10"/>
      <c r="AY198" s="10"/>
      <c r="AZ198" s="10"/>
      <c r="BA198" s="10"/>
      <c r="BB198" s="10"/>
      <c r="BC198" s="10"/>
      <c r="BD198" s="10"/>
      <c r="BE198" s="10"/>
      <c r="BF198" s="10"/>
      <c r="BG198" s="10"/>
      <c r="BH198" s="10"/>
      <c r="BI198" s="10"/>
      <c r="BJ198" s="10"/>
      <c r="BK198" s="10"/>
      <c r="BL198" s="10"/>
    </row>
    <row r="199" spans="5:64" s="8" customFormat="1" x14ac:dyDescent="0.2">
      <c r="E199" s="85"/>
      <c r="AR199" s="10"/>
      <c r="AS199" s="10"/>
      <c r="AT199" s="10"/>
      <c r="AU199" s="10"/>
      <c r="AV199" s="10"/>
      <c r="AW199" s="10"/>
      <c r="AX199" s="10"/>
      <c r="AY199" s="10"/>
      <c r="AZ199" s="10"/>
      <c r="BA199" s="10"/>
      <c r="BB199" s="10"/>
      <c r="BC199" s="10"/>
      <c r="BD199" s="10"/>
      <c r="BE199" s="10"/>
      <c r="BF199" s="10"/>
      <c r="BG199" s="10"/>
      <c r="BH199" s="10"/>
      <c r="BI199" s="10"/>
      <c r="BJ199" s="10"/>
      <c r="BK199" s="10"/>
      <c r="BL199" s="10"/>
    </row>
    <row r="200" spans="5:64" s="8" customFormat="1" x14ac:dyDescent="0.2">
      <c r="E200" s="85"/>
      <c r="AR200" s="10"/>
      <c r="AS200" s="10"/>
      <c r="AT200" s="10"/>
      <c r="AU200" s="10"/>
      <c r="AV200" s="10"/>
      <c r="AW200" s="10"/>
      <c r="AX200" s="10"/>
      <c r="AY200" s="10"/>
      <c r="AZ200" s="10"/>
      <c r="BA200" s="10"/>
      <c r="BB200" s="10"/>
      <c r="BC200" s="10"/>
      <c r="BD200" s="10"/>
      <c r="BE200" s="10"/>
      <c r="BF200" s="10"/>
      <c r="BG200" s="10"/>
      <c r="BH200" s="10"/>
      <c r="BI200" s="10"/>
      <c r="BJ200" s="10"/>
      <c r="BK200" s="10"/>
      <c r="BL200" s="10"/>
    </row>
    <row r="201" spans="5:64" s="8" customFormat="1" x14ac:dyDescent="0.2">
      <c r="E201" s="85"/>
      <c r="AR201" s="10"/>
      <c r="AS201" s="10"/>
      <c r="AT201" s="10"/>
      <c r="AU201" s="10"/>
      <c r="AV201" s="10"/>
      <c r="AW201" s="10"/>
      <c r="AX201" s="10"/>
      <c r="AY201" s="10"/>
      <c r="AZ201" s="10"/>
      <c r="BA201" s="10"/>
      <c r="BB201" s="10"/>
      <c r="BC201" s="10"/>
      <c r="BD201" s="10"/>
      <c r="BE201" s="10"/>
      <c r="BF201" s="10"/>
      <c r="BG201" s="10"/>
      <c r="BH201" s="10"/>
      <c r="BI201" s="10"/>
      <c r="BJ201" s="10"/>
      <c r="BK201" s="10"/>
      <c r="BL201" s="10"/>
    </row>
    <row r="202" spans="5:64" s="8" customFormat="1" x14ac:dyDescent="0.2">
      <c r="E202" s="85"/>
      <c r="AR202" s="10"/>
      <c r="AS202" s="10"/>
      <c r="AT202" s="10"/>
      <c r="AU202" s="10"/>
      <c r="AV202" s="10"/>
      <c r="AW202" s="10"/>
      <c r="AX202" s="10"/>
      <c r="AY202" s="10"/>
      <c r="AZ202" s="10"/>
      <c r="BA202" s="10"/>
      <c r="BB202" s="10"/>
      <c r="BC202" s="10"/>
      <c r="BD202" s="10"/>
      <c r="BE202" s="10"/>
      <c r="BF202" s="10"/>
      <c r="BG202" s="10"/>
      <c r="BH202" s="10"/>
      <c r="BI202" s="10"/>
      <c r="BJ202" s="10"/>
      <c r="BK202" s="10"/>
      <c r="BL202" s="10"/>
    </row>
    <row r="203" spans="5:64" s="8" customFormat="1" x14ac:dyDescent="0.2">
      <c r="E203" s="85"/>
      <c r="AR203" s="10"/>
      <c r="AS203" s="10"/>
      <c r="AT203" s="10"/>
      <c r="AU203" s="10"/>
      <c r="AV203" s="10"/>
      <c r="AW203" s="10"/>
      <c r="AX203" s="10"/>
      <c r="AY203" s="10"/>
      <c r="AZ203" s="10"/>
      <c r="BA203" s="10"/>
      <c r="BB203" s="10"/>
      <c r="BC203" s="10"/>
      <c r="BD203" s="10"/>
      <c r="BE203" s="10"/>
      <c r="BF203" s="10"/>
      <c r="BG203" s="10"/>
      <c r="BH203" s="10"/>
      <c r="BI203" s="10"/>
      <c r="BJ203" s="10"/>
      <c r="BK203" s="10"/>
      <c r="BL203" s="10"/>
    </row>
    <row r="204" spans="5:64" s="8" customFormat="1" x14ac:dyDescent="0.2">
      <c r="E204" s="85"/>
      <c r="AR204" s="10"/>
      <c r="AS204" s="10"/>
      <c r="AT204" s="10"/>
      <c r="AU204" s="10"/>
      <c r="AV204" s="10"/>
      <c r="AW204" s="10"/>
      <c r="AX204" s="10"/>
      <c r="AY204" s="10"/>
      <c r="AZ204" s="10"/>
      <c r="BA204" s="10"/>
      <c r="BB204" s="10"/>
      <c r="BC204" s="10"/>
      <c r="BD204" s="10"/>
      <c r="BE204" s="10"/>
      <c r="BF204" s="10"/>
      <c r="BG204" s="10"/>
      <c r="BH204" s="10"/>
      <c r="BI204" s="10"/>
      <c r="BJ204" s="10"/>
      <c r="BK204" s="10"/>
      <c r="BL204" s="10"/>
    </row>
    <row r="205" spans="5:64" s="8" customFormat="1" x14ac:dyDescent="0.2">
      <c r="E205" s="85"/>
      <c r="AR205" s="10"/>
      <c r="AS205" s="10"/>
      <c r="AT205" s="10"/>
      <c r="AU205" s="10"/>
      <c r="AV205" s="10"/>
      <c r="AW205" s="10"/>
      <c r="AX205" s="10"/>
      <c r="AY205" s="10"/>
      <c r="AZ205" s="10"/>
      <c r="BA205" s="10"/>
      <c r="BB205" s="10"/>
      <c r="BC205" s="10"/>
      <c r="BD205" s="10"/>
      <c r="BE205" s="10"/>
      <c r="BF205" s="10"/>
      <c r="BG205" s="10"/>
      <c r="BH205" s="10"/>
      <c r="BI205" s="10"/>
      <c r="BJ205" s="10"/>
      <c r="BK205" s="10"/>
      <c r="BL205" s="10"/>
    </row>
    <row r="206" spans="5:64" s="8" customFormat="1" x14ac:dyDescent="0.2">
      <c r="E206" s="85"/>
      <c r="AR206" s="10"/>
      <c r="AS206" s="10"/>
      <c r="AT206" s="10"/>
      <c r="AU206" s="10"/>
      <c r="AV206" s="10"/>
      <c r="AW206" s="10"/>
      <c r="AX206" s="10"/>
      <c r="AY206" s="10"/>
      <c r="AZ206" s="10"/>
      <c r="BA206" s="10"/>
      <c r="BB206" s="10"/>
      <c r="BC206" s="10"/>
      <c r="BD206" s="10"/>
      <c r="BE206" s="10"/>
      <c r="BF206" s="10"/>
      <c r="BG206" s="10"/>
      <c r="BH206" s="10"/>
      <c r="BI206" s="10"/>
      <c r="BJ206" s="10"/>
      <c r="BK206" s="10"/>
      <c r="BL206" s="10"/>
    </row>
    <row r="207" spans="5:64" s="8" customFormat="1" x14ac:dyDescent="0.2">
      <c r="E207" s="85"/>
      <c r="AR207" s="10"/>
      <c r="AS207" s="10"/>
      <c r="AT207" s="10"/>
      <c r="AU207" s="10"/>
      <c r="AV207" s="10"/>
      <c r="AW207" s="10"/>
      <c r="AX207" s="10"/>
      <c r="AY207" s="10"/>
      <c r="AZ207" s="10"/>
      <c r="BA207" s="10"/>
      <c r="BB207" s="10"/>
      <c r="BC207" s="10"/>
      <c r="BD207" s="10"/>
      <c r="BE207" s="10"/>
      <c r="BF207" s="10"/>
      <c r="BG207" s="10"/>
      <c r="BH207" s="10"/>
      <c r="BI207" s="10"/>
      <c r="BJ207" s="10"/>
      <c r="BK207" s="10"/>
      <c r="BL207" s="10"/>
    </row>
    <row r="208" spans="5:64" s="8" customFormat="1" x14ac:dyDescent="0.2">
      <c r="E208" s="85"/>
      <c r="AR208" s="10"/>
      <c r="AS208" s="10"/>
      <c r="AT208" s="10"/>
      <c r="AU208" s="10"/>
      <c r="AV208" s="10"/>
      <c r="AW208" s="10"/>
      <c r="AX208" s="10"/>
      <c r="AY208" s="10"/>
      <c r="AZ208" s="10"/>
      <c r="BA208" s="10"/>
      <c r="BB208" s="10"/>
      <c r="BC208" s="10"/>
      <c r="BD208" s="10"/>
      <c r="BE208" s="10"/>
      <c r="BF208" s="10"/>
      <c r="BG208" s="10"/>
      <c r="BH208" s="10"/>
      <c r="BI208" s="10"/>
      <c r="BJ208" s="10"/>
      <c r="BK208" s="10"/>
      <c r="BL208" s="10"/>
    </row>
    <row r="209" spans="5:64" s="8" customFormat="1" x14ac:dyDescent="0.2">
      <c r="E209" s="85"/>
      <c r="AR209" s="10"/>
      <c r="AS209" s="10"/>
      <c r="AT209" s="10"/>
      <c r="AU209" s="10"/>
      <c r="AV209" s="10"/>
      <c r="AW209" s="10"/>
      <c r="AX209" s="10"/>
      <c r="AY209" s="10"/>
      <c r="AZ209" s="10"/>
      <c r="BA209" s="10"/>
      <c r="BB209" s="10"/>
      <c r="BC209" s="10"/>
      <c r="BD209" s="10"/>
      <c r="BE209" s="10"/>
      <c r="BF209" s="10"/>
      <c r="BG209" s="10"/>
      <c r="BH209" s="10"/>
      <c r="BI209" s="10"/>
      <c r="BJ209" s="10"/>
      <c r="BK209" s="10"/>
      <c r="BL209" s="10"/>
    </row>
    <row r="210" spans="5:64" s="8" customFormat="1" x14ac:dyDescent="0.2">
      <c r="E210" s="85"/>
      <c r="AR210" s="10"/>
      <c r="AS210" s="10"/>
      <c r="AT210" s="10"/>
      <c r="AU210" s="10"/>
      <c r="AV210" s="10"/>
      <c r="AW210" s="10"/>
      <c r="AX210" s="10"/>
      <c r="AY210" s="10"/>
      <c r="AZ210" s="10"/>
      <c r="BA210" s="10"/>
      <c r="BB210" s="10"/>
      <c r="BC210" s="10"/>
      <c r="BD210" s="10"/>
      <c r="BE210" s="10"/>
      <c r="BF210" s="10"/>
      <c r="BG210" s="10"/>
      <c r="BH210" s="10"/>
      <c r="BI210" s="10"/>
      <c r="BJ210" s="10"/>
      <c r="BK210" s="10"/>
      <c r="BL210" s="10"/>
    </row>
    <row r="211" spans="5:64" s="8" customFormat="1" x14ac:dyDescent="0.2">
      <c r="E211" s="85"/>
      <c r="AR211" s="10"/>
      <c r="AS211" s="10"/>
      <c r="AT211" s="10"/>
      <c r="AU211" s="10"/>
      <c r="AV211" s="10"/>
      <c r="AW211" s="10"/>
      <c r="AX211" s="10"/>
      <c r="AY211" s="10"/>
      <c r="AZ211" s="10"/>
      <c r="BA211" s="10"/>
      <c r="BB211" s="10"/>
      <c r="BC211" s="10"/>
      <c r="BD211" s="10"/>
      <c r="BE211" s="10"/>
      <c r="BF211" s="10"/>
      <c r="BG211" s="10"/>
      <c r="BH211" s="10"/>
      <c r="BI211" s="10"/>
      <c r="BJ211" s="10"/>
      <c r="BK211" s="10"/>
      <c r="BL211" s="10"/>
    </row>
    <row r="212" spans="5:64" s="8" customFormat="1" x14ac:dyDescent="0.2">
      <c r="E212" s="85"/>
      <c r="AR212" s="10"/>
      <c r="AS212" s="10"/>
      <c r="AT212" s="10"/>
      <c r="AU212" s="10"/>
      <c r="AV212" s="10"/>
      <c r="AW212" s="10"/>
      <c r="AX212" s="10"/>
      <c r="AY212" s="10"/>
      <c r="AZ212" s="10"/>
      <c r="BA212" s="10"/>
      <c r="BB212" s="10"/>
      <c r="BC212" s="10"/>
      <c r="BD212" s="10"/>
      <c r="BE212" s="10"/>
      <c r="BF212" s="10"/>
      <c r="BG212" s="10"/>
      <c r="BH212" s="10"/>
      <c r="BI212" s="10"/>
      <c r="BJ212" s="10"/>
      <c r="BK212" s="10"/>
      <c r="BL212" s="10"/>
    </row>
    <row r="213" spans="5:64" s="8" customFormat="1" x14ac:dyDescent="0.2">
      <c r="E213" s="85"/>
      <c r="AR213" s="10"/>
      <c r="AS213" s="10"/>
      <c r="AT213" s="10"/>
      <c r="AU213" s="10"/>
      <c r="AV213" s="10"/>
      <c r="AW213" s="10"/>
      <c r="AX213" s="10"/>
      <c r="AY213" s="10"/>
      <c r="AZ213" s="10"/>
      <c r="BA213" s="10"/>
      <c r="BB213" s="10"/>
      <c r="BC213" s="10"/>
      <c r="BD213" s="10"/>
      <c r="BE213" s="10"/>
      <c r="BF213" s="10"/>
      <c r="BG213" s="10"/>
      <c r="BH213" s="10"/>
      <c r="BI213" s="10"/>
      <c r="BJ213" s="10"/>
      <c r="BK213" s="10"/>
      <c r="BL213" s="10"/>
    </row>
    <row r="214" spans="5:64" s="8" customFormat="1" x14ac:dyDescent="0.2">
      <c r="E214" s="85"/>
      <c r="AR214" s="10"/>
      <c r="AS214" s="10"/>
      <c r="AT214" s="10"/>
      <c r="AU214" s="10"/>
      <c r="AV214" s="10"/>
      <c r="AW214" s="10"/>
      <c r="AX214" s="10"/>
      <c r="AY214" s="10"/>
      <c r="AZ214" s="10"/>
      <c r="BA214" s="10"/>
      <c r="BB214" s="10"/>
      <c r="BC214" s="10"/>
      <c r="BD214" s="10"/>
      <c r="BE214" s="10"/>
      <c r="BF214" s="10"/>
      <c r="BG214" s="10"/>
      <c r="BH214" s="10"/>
      <c r="BI214" s="10"/>
      <c r="BJ214" s="10"/>
      <c r="BK214" s="10"/>
      <c r="BL214" s="10"/>
    </row>
    <row r="215" spans="5:64" s="8" customFormat="1" x14ac:dyDescent="0.2">
      <c r="E215" s="85"/>
      <c r="AR215" s="10"/>
      <c r="AS215" s="10"/>
      <c r="AT215" s="10"/>
      <c r="AU215" s="10"/>
      <c r="AV215" s="10"/>
      <c r="AW215" s="10"/>
      <c r="AX215" s="10"/>
      <c r="AY215" s="10"/>
      <c r="AZ215" s="10"/>
      <c r="BA215" s="10"/>
      <c r="BB215" s="10"/>
      <c r="BC215" s="10"/>
      <c r="BD215" s="10"/>
      <c r="BE215" s="10"/>
      <c r="BF215" s="10"/>
      <c r="BG215" s="10"/>
      <c r="BH215" s="10"/>
      <c r="BI215" s="10"/>
      <c r="BJ215" s="10"/>
      <c r="BK215" s="10"/>
      <c r="BL215" s="10"/>
    </row>
    <row r="216" spans="5:64" s="8" customFormat="1" x14ac:dyDescent="0.2">
      <c r="E216" s="85"/>
      <c r="AR216" s="10"/>
      <c r="AS216" s="10"/>
      <c r="AT216" s="10"/>
      <c r="AU216" s="10"/>
      <c r="AV216" s="10"/>
      <c r="AW216" s="10"/>
      <c r="AX216" s="10"/>
      <c r="AY216" s="10"/>
      <c r="AZ216" s="10"/>
      <c r="BA216" s="10"/>
      <c r="BB216" s="10"/>
      <c r="BC216" s="10"/>
      <c r="BD216" s="10"/>
      <c r="BE216" s="10"/>
      <c r="BF216" s="10"/>
      <c r="BG216" s="10"/>
      <c r="BH216" s="10"/>
      <c r="BI216" s="10"/>
      <c r="BJ216" s="10"/>
      <c r="BK216" s="10"/>
      <c r="BL216" s="10"/>
    </row>
    <row r="217" spans="5:64" s="8" customFormat="1" x14ac:dyDescent="0.2">
      <c r="E217" s="85"/>
      <c r="AR217" s="10"/>
      <c r="AS217" s="10"/>
      <c r="AT217" s="10"/>
      <c r="AU217" s="10"/>
      <c r="AV217" s="10"/>
      <c r="AW217" s="10"/>
      <c r="AX217" s="10"/>
      <c r="AY217" s="10"/>
      <c r="AZ217" s="10"/>
      <c r="BA217" s="10"/>
      <c r="BB217" s="10"/>
      <c r="BC217" s="10"/>
      <c r="BD217" s="10"/>
      <c r="BE217" s="10"/>
      <c r="BF217" s="10"/>
      <c r="BG217" s="10"/>
      <c r="BH217" s="10"/>
      <c r="BI217" s="10"/>
      <c r="BJ217" s="10"/>
      <c r="BK217" s="10"/>
      <c r="BL217" s="10"/>
    </row>
    <row r="218" spans="5:64" s="8" customFormat="1" x14ac:dyDescent="0.2">
      <c r="E218" s="85"/>
      <c r="AR218" s="10"/>
      <c r="AS218" s="10"/>
      <c r="AT218" s="10"/>
      <c r="AU218" s="10"/>
      <c r="AV218" s="10"/>
      <c r="AW218" s="10"/>
      <c r="AX218" s="10"/>
      <c r="AY218" s="10"/>
      <c r="AZ218" s="10"/>
      <c r="BA218" s="10"/>
      <c r="BB218" s="10"/>
      <c r="BC218" s="10"/>
      <c r="BD218" s="10"/>
      <c r="BE218" s="10"/>
      <c r="BF218" s="10"/>
      <c r="BG218" s="10"/>
      <c r="BH218" s="10"/>
      <c r="BI218" s="10"/>
      <c r="BJ218" s="10"/>
      <c r="BK218" s="10"/>
      <c r="BL218" s="10"/>
    </row>
    <row r="219" spans="5:64" s="8" customFormat="1" x14ac:dyDescent="0.2">
      <c r="E219" s="85"/>
      <c r="AR219" s="10"/>
      <c r="AS219" s="10"/>
      <c r="AT219" s="10"/>
      <c r="AU219" s="10"/>
      <c r="AV219" s="10"/>
      <c r="AW219" s="10"/>
      <c r="AX219" s="10"/>
      <c r="AY219" s="10"/>
      <c r="AZ219" s="10"/>
      <c r="BA219" s="10"/>
      <c r="BB219" s="10"/>
      <c r="BC219" s="10"/>
      <c r="BD219" s="10"/>
      <c r="BE219" s="10"/>
      <c r="BF219" s="10"/>
      <c r="BG219" s="10"/>
      <c r="BH219" s="10"/>
      <c r="BI219" s="10"/>
      <c r="BJ219" s="10"/>
      <c r="BK219" s="10"/>
      <c r="BL219" s="10"/>
    </row>
    <row r="220" spans="5:64" s="8" customFormat="1" x14ac:dyDescent="0.2">
      <c r="E220" s="85"/>
      <c r="AR220" s="10"/>
      <c r="AS220" s="10"/>
      <c r="AT220" s="10"/>
      <c r="AU220" s="10"/>
      <c r="AV220" s="10"/>
      <c r="AW220" s="10"/>
      <c r="AX220" s="10"/>
      <c r="AY220" s="10"/>
      <c r="AZ220" s="10"/>
      <c r="BA220" s="10"/>
      <c r="BB220" s="10"/>
      <c r="BC220" s="10"/>
      <c r="BD220" s="10"/>
      <c r="BE220" s="10"/>
      <c r="BF220" s="10"/>
      <c r="BG220" s="10"/>
      <c r="BH220" s="10"/>
      <c r="BI220" s="10"/>
      <c r="BJ220" s="10"/>
      <c r="BK220" s="10"/>
      <c r="BL220" s="10"/>
    </row>
    <row r="221" spans="5:64" s="8" customFormat="1" x14ac:dyDescent="0.2">
      <c r="E221" s="85"/>
      <c r="AR221" s="10"/>
      <c r="AS221" s="10"/>
      <c r="AT221" s="10"/>
      <c r="AU221" s="10"/>
      <c r="AV221" s="10"/>
      <c r="AW221" s="10"/>
      <c r="AX221" s="10"/>
      <c r="AY221" s="10"/>
      <c r="AZ221" s="10"/>
      <c r="BA221" s="10"/>
      <c r="BB221" s="10"/>
      <c r="BC221" s="10"/>
      <c r="BD221" s="10"/>
      <c r="BE221" s="10"/>
      <c r="BF221" s="10"/>
      <c r="BG221" s="10"/>
      <c r="BH221" s="10"/>
      <c r="BI221" s="10"/>
      <c r="BJ221" s="10"/>
      <c r="BK221" s="10"/>
      <c r="BL221" s="10"/>
    </row>
    <row r="222" spans="5:64" s="8" customFormat="1" x14ac:dyDescent="0.2">
      <c r="E222" s="85"/>
      <c r="AR222" s="10"/>
      <c r="AS222" s="10"/>
      <c r="AT222" s="10"/>
      <c r="AU222" s="10"/>
      <c r="AV222" s="10"/>
      <c r="AW222" s="10"/>
      <c r="AX222" s="10"/>
      <c r="AY222" s="10"/>
      <c r="AZ222" s="10"/>
      <c r="BA222" s="10"/>
      <c r="BB222" s="10"/>
      <c r="BC222" s="10"/>
      <c r="BD222" s="10"/>
      <c r="BE222" s="10"/>
      <c r="BF222" s="10"/>
      <c r="BG222" s="10"/>
      <c r="BH222" s="10"/>
      <c r="BI222" s="10"/>
      <c r="BJ222" s="10"/>
      <c r="BK222" s="10"/>
      <c r="BL222" s="10"/>
    </row>
    <row r="223" spans="5:64" s="8" customFormat="1" x14ac:dyDescent="0.2">
      <c r="E223" s="85"/>
      <c r="AR223" s="10"/>
      <c r="AS223" s="10"/>
      <c r="AT223" s="10"/>
      <c r="AU223" s="10"/>
      <c r="AV223" s="10"/>
      <c r="AW223" s="10"/>
      <c r="AX223" s="10"/>
      <c r="AY223" s="10"/>
      <c r="AZ223" s="10"/>
      <c r="BA223" s="10"/>
      <c r="BB223" s="10"/>
      <c r="BC223" s="10"/>
      <c r="BD223" s="10"/>
      <c r="BE223" s="10"/>
      <c r="BF223" s="10"/>
      <c r="BG223" s="10"/>
      <c r="BH223" s="10"/>
      <c r="BI223" s="10"/>
      <c r="BJ223" s="10"/>
      <c r="BK223" s="10"/>
      <c r="BL223" s="10"/>
    </row>
    <row r="224" spans="5:64" s="8" customFormat="1" x14ac:dyDescent="0.2">
      <c r="E224" s="85"/>
      <c r="AR224" s="10"/>
      <c r="AS224" s="10"/>
      <c r="AT224" s="10"/>
      <c r="AU224" s="10"/>
      <c r="AV224" s="10"/>
      <c r="AW224" s="10"/>
      <c r="AX224" s="10"/>
      <c r="AY224" s="10"/>
      <c r="AZ224" s="10"/>
      <c r="BA224" s="10"/>
      <c r="BB224" s="10"/>
      <c r="BC224" s="10"/>
      <c r="BD224" s="10"/>
      <c r="BE224" s="10"/>
      <c r="BF224" s="10"/>
      <c r="BG224" s="10"/>
      <c r="BH224" s="10"/>
      <c r="BI224" s="10"/>
      <c r="BJ224" s="10"/>
      <c r="BK224" s="10"/>
      <c r="BL224" s="10"/>
    </row>
    <row r="225" spans="5:64" s="8" customFormat="1" x14ac:dyDescent="0.2">
      <c r="E225" s="85"/>
      <c r="AR225" s="10"/>
      <c r="AS225" s="10"/>
      <c r="AT225" s="10"/>
      <c r="AU225" s="10"/>
      <c r="AV225" s="10"/>
      <c r="AW225" s="10"/>
      <c r="AX225" s="10"/>
      <c r="AY225" s="10"/>
      <c r="AZ225" s="10"/>
      <c r="BA225" s="10"/>
      <c r="BB225" s="10"/>
      <c r="BC225" s="10"/>
      <c r="BD225" s="10"/>
      <c r="BE225" s="10"/>
      <c r="BF225" s="10"/>
      <c r="BG225" s="10"/>
      <c r="BH225" s="10"/>
      <c r="BI225" s="10"/>
      <c r="BJ225" s="10"/>
      <c r="BK225" s="10"/>
      <c r="BL225" s="10"/>
    </row>
    <row r="226" spans="5:64" s="8" customFormat="1" x14ac:dyDescent="0.2">
      <c r="E226" s="85"/>
      <c r="AR226" s="10"/>
      <c r="AS226" s="10"/>
      <c r="AT226" s="10"/>
      <c r="AU226" s="10"/>
      <c r="AV226" s="10"/>
      <c r="AW226" s="10"/>
      <c r="AX226" s="10"/>
      <c r="AY226" s="10"/>
      <c r="AZ226" s="10"/>
      <c r="BA226" s="10"/>
      <c r="BB226" s="10"/>
      <c r="BC226" s="10"/>
      <c r="BD226" s="10"/>
      <c r="BE226" s="10"/>
      <c r="BF226" s="10"/>
      <c r="BG226" s="10"/>
      <c r="BH226" s="10"/>
      <c r="BI226" s="10"/>
      <c r="BJ226" s="10"/>
      <c r="BK226" s="10"/>
      <c r="BL226" s="10"/>
    </row>
    <row r="227" spans="5:64" s="8" customFormat="1" x14ac:dyDescent="0.2">
      <c r="E227" s="85"/>
      <c r="AR227" s="10"/>
      <c r="AS227" s="10"/>
      <c r="AT227" s="10"/>
      <c r="AU227" s="10"/>
      <c r="AV227" s="10"/>
      <c r="AW227" s="10"/>
      <c r="AX227" s="10"/>
      <c r="AY227" s="10"/>
      <c r="AZ227" s="10"/>
      <c r="BA227" s="10"/>
      <c r="BB227" s="10"/>
      <c r="BC227" s="10"/>
      <c r="BD227" s="10"/>
      <c r="BE227" s="10"/>
      <c r="BF227" s="10"/>
      <c r="BG227" s="10"/>
      <c r="BH227" s="10"/>
      <c r="BI227" s="10"/>
      <c r="BJ227" s="10"/>
      <c r="BK227" s="10"/>
      <c r="BL227" s="10"/>
    </row>
    <row r="228" spans="5:64" s="8" customFormat="1" x14ac:dyDescent="0.2">
      <c r="E228" s="85"/>
      <c r="AR228" s="10"/>
      <c r="AS228" s="10"/>
      <c r="AT228" s="10"/>
      <c r="AU228" s="10"/>
      <c r="AV228" s="10"/>
      <c r="AW228" s="10"/>
      <c r="AX228" s="10"/>
      <c r="AY228" s="10"/>
      <c r="AZ228" s="10"/>
      <c r="BA228" s="10"/>
      <c r="BB228" s="10"/>
      <c r="BC228" s="10"/>
      <c r="BD228" s="10"/>
      <c r="BE228" s="10"/>
      <c r="BF228" s="10"/>
      <c r="BG228" s="10"/>
      <c r="BH228" s="10"/>
      <c r="BI228" s="10"/>
      <c r="BJ228" s="10"/>
      <c r="BK228" s="10"/>
      <c r="BL228" s="10"/>
    </row>
    <row r="229" spans="5:64" s="8" customFormat="1" x14ac:dyDescent="0.2">
      <c r="E229" s="85"/>
      <c r="AR229" s="10"/>
      <c r="AS229" s="10"/>
      <c r="AT229" s="10"/>
      <c r="AU229" s="10"/>
      <c r="AV229" s="10"/>
      <c r="AW229" s="10"/>
      <c r="AX229" s="10"/>
      <c r="AY229" s="10"/>
      <c r="AZ229" s="10"/>
      <c r="BA229" s="10"/>
      <c r="BB229" s="10"/>
      <c r="BC229" s="10"/>
      <c r="BD229" s="10"/>
      <c r="BE229" s="10"/>
      <c r="BF229" s="10"/>
      <c r="BG229" s="10"/>
      <c r="BH229" s="10"/>
      <c r="BI229" s="10"/>
      <c r="BJ229" s="10"/>
      <c r="BK229" s="10"/>
      <c r="BL229" s="10"/>
    </row>
    <row r="230" spans="5:64" s="8" customFormat="1" x14ac:dyDescent="0.2">
      <c r="E230" s="85"/>
      <c r="AR230" s="10"/>
      <c r="AS230" s="10"/>
      <c r="AT230" s="10"/>
      <c r="AU230" s="10"/>
      <c r="AV230" s="10"/>
      <c r="AW230" s="10"/>
      <c r="AX230" s="10"/>
      <c r="AY230" s="10"/>
      <c r="AZ230" s="10"/>
      <c r="BA230" s="10"/>
      <c r="BB230" s="10"/>
      <c r="BC230" s="10"/>
      <c r="BD230" s="10"/>
      <c r="BE230" s="10"/>
      <c r="BF230" s="10"/>
      <c r="BG230" s="10"/>
      <c r="BH230" s="10"/>
      <c r="BI230" s="10"/>
      <c r="BJ230" s="10"/>
      <c r="BK230" s="10"/>
      <c r="BL230" s="10"/>
    </row>
    <row r="231" spans="5:64" s="8" customFormat="1" x14ac:dyDescent="0.2">
      <c r="E231" s="85"/>
      <c r="AR231" s="10"/>
      <c r="AS231" s="10"/>
      <c r="AT231" s="10"/>
      <c r="AU231" s="10"/>
      <c r="AV231" s="10"/>
      <c r="AW231" s="10"/>
      <c r="AX231" s="10"/>
      <c r="AY231" s="10"/>
      <c r="AZ231" s="10"/>
      <c r="BA231" s="10"/>
      <c r="BB231" s="10"/>
      <c r="BC231" s="10"/>
      <c r="BD231" s="10"/>
      <c r="BE231" s="10"/>
      <c r="BF231" s="10"/>
      <c r="BG231" s="10"/>
      <c r="BH231" s="10"/>
      <c r="BI231" s="10"/>
      <c r="BJ231" s="10"/>
      <c r="BK231" s="10"/>
      <c r="BL231" s="10"/>
    </row>
    <row r="232" spans="5:64" s="8" customFormat="1" x14ac:dyDescent="0.2">
      <c r="E232" s="85"/>
      <c r="AR232" s="10"/>
      <c r="AS232" s="10"/>
      <c r="AT232" s="10"/>
      <c r="AU232" s="10"/>
      <c r="AV232" s="10"/>
      <c r="AW232" s="10"/>
      <c r="AX232" s="10"/>
      <c r="AY232" s="10"/>
      <c r="AZ232" s="10"/>
      <c r="BA232" s="10"/>
      <c r="BB232" s="10"/>
      <c r="BC232" s="10"/>
      <c r="BD232" s="10"/>
      <c r="BE232" s="10"/>
      <c r="BF232" s="10"/>
      <c r="BG232" s="10"/>
      <c r="BH232" s="10"/>
      <c r="BI232" s="10"/>
      <c r="BJ232" s="10"/>
      <c r="BK232" s="10"/>
      <c r="BL232" s="10"/>
    </row>
    <row r="233" spans="5:64" s="8" customFormat="1" x14ac:dyDescent="0.2">
      <c r="E233" s="85"/>
      <c r="AR233" s="10"/>
      <c r="AS233" s="10"/>
      <c r="AT233" s="10"/>
      <c r="AU233" s="10"/>
      <c r="AV233" s="10"/>
      <c r="AW233" s="10"/>
      <c r="AX233" s="10"/>
      <c r="AY233" s="10"/>
      <c r="AZ233" s="10"/>
      <c r="BA233" s="10"/>
      <c r="BB233" s="10"/>
      <c r="BC233" s="10"/>
      <c r="BD233" s="10"/>
      <c r="BE233" s="10"/>
      <c r="BF233" s="10"/>
      <c r="BG233" s="10"/>
      <c r="BH233" s="10"/>
      <c r="BI233" s="10"/>
      <c r="BJ233" s="10"/>
      <c r="BK233" s="10"/>
      <c r="BL233" s="10"/>
    </row>
    <row r="234" spans="5:64" s="8" customFormat="1" x14ac:dyDescent="0.2">
      <c r="E234" s="85"/>
      <c r="AR234" s="10"/>
      <c r="AS234" s="10"/>
      <c r="AT234" s="10"/>
      <c r="AU234" s="10"/>
      <c r="AV234" s="10"/>
      <c r="AW234" s="10"/>
      <c r="AX234" s="10"/>
      <c r="AY234" s="10"/>
      <c r="AZ234" s="10"/>
      <c r="BA234" s="10"/>
      <c r="BB234" s="10"/>
      <c r="BC234" s="10"/>
      <c r="BD234" s="10"/>
      <c r="BE234" s="10"/>
      <c r="BF234" s="10"/>
      <c r="BG234" s="10"/>
      <c r="BH234" s="10"/>
      <c r="BI234" s="10"/>
      <c r="BJ234" s="10"/>
      <c r="BK234" s="10"/>
      <c r="BL234" s="10"/>
    </row>
    <row r="235" spans="5:64" s="8" customFormat="1" x14ac:dyDescent="0.2">
      <c r="E235" s="85"/>
      <c r="AR235" s="10"/>
      <c r="AS235" s="10"/>
      <c r="AT235" s="10"/>
      <c r="AU235" s="10"/>
      <c r="AV235" s="10"/>
      <c r="AW235" s="10"/>
      <c r="AX235" s="10"/>
      <c r="AY235" s="10"/>
      <c r="AZ235" s="10"/>
      <c r="BA235" s="10"/>
      <c r="BB235" s="10"/>
      <c r="BC235" s="10"/>
      <c r="BD235" s="10"/>
      <c r="BE235" s="10"/>
      <c r="BF235" s="10"/>
      <c r="BG235" s="10"/>
      <c r="BH235" s="10"/>
      <c r="BI235" s="10"/>
      <c r="BJ235" s="10"/>
      <c r="BK235" s="10"/>
      <c r="BL235" s="10"/>
    </row>
    <row r="236" spans="5:64" s="8" customFormat="1" x14ac:dyDescent="0.2">
      <c r="E236" s="85"/>
      <c r="AR236" s="10"/>
      <c r="AS236" s="10"/>
      <c r="AT236" s="10"/>
      <c r="AU236" s="10"/>
      <c r="AV236" s="10"/>
      <c r="AW236" s="10"/>
      <c r="AX236" s="10"/>
      <c r="AY236" s="10"/>
      <c r="AZ236" s="10"/>
      <c r="BA236" s="10"/>
      <c r="BB236" s="10"/>
      <c r="BC236" s="10"/>
      <c r="BD236" s="10"/>
      <c r="BE236" s="10"/>
      <c r="BF236" s="10"/>
      <c r="BG236" s="10"/>
      <c r="BH236" s="10"/>
      <c r="BI236" s="10"/>
      <c r="BJ236" s="10"/>
      <c r="BK236" s="10"/>
      <c r="BL236" s="10"/>
    </row>
    <row r="237" spans="5:64" s="8" customFormat="1" x14ac:dyDescent="0.2">
      <c r="E237" s="85"/>
      <c r="AR237" s="10"/>
      <c r="AS237" s="10"/>
      <c r="AT237" s="10"/>
      <c r="AU237" s="10"/>
      <c r="AV237" s="10"/>
      <c r="AW237" s="10"/>
      <c r="AX237" s="10"/>
      <c r="AY237" s="10"/>
      <c r="AZ237" s="10"/>
      <c r="BA237" s="10"/>
      <c r="BB237" s="10"/>
      <c r="BC237" s="10"/>
      <c r="BD237" s="10"/>
      <c r="BE237" s="10"/>
      <c r="BF237" s="10"/>
      <c r="BG237" s="10"/>
      <c r="BH237" s="10"/>
      <c r="BI237" s="10"/>
      <c r="BJ237" s="10"/>
      <c r="BK237" s="10"/>
      <c r="BL237" s="10"/>
    </row>
    <row r="238" spans="5:64" s="8" customFormat="1" x14ac:dyDescent="0.2">
      <c r="E238" s="85"/>
      <c r="AR238" s="10"/>
      <c r="AS238" s="10"/>
      <c r="AT238" s="10"/>
      <c r="AU238" s="10"/>
      <c r="AV238" s="10"/>
      <c r="AW238" s="10"/>
      <c r="AX238" s="10"/>
      <c r="AY238" s="10"/>
      <c r="AZ238" s="10"/>
      <c r="BA238" s="10"/>
      <c r="BB238" s="10"/>
      <c r="BC238" s="10"/>
      <c r="BD238" s="10"/>
      <c r="BE238" s="10"/>
      <c r="BF238" s="10"/>
      <c r="BG238" s="10"/>
      <c r="BH238" s="10"/>
      <c r="BI238" s="10"/>
      <c r="BJ238" s="10"/>
      <c r="BK238" s="10"/>
      <c r="BL238" s="10"/>
    </row>
    <row r="239" spans="5:64" s="8" customFormat="1" x14ac:dyDescent="0.2">
      <c r="E239" s="85"/>
      <c r="AR239" s="10"/>
      <c r="AS239" s="10"/>
      <c r="AT239" s="10"/>
      <c r="AU239" s="10"/>
      <c r="AV239" s="10"/>
      <c r="AW239" s="10"/>
      <c r="AX239" s="10"/>
      <c r="AY239" s="10"/>
      <c r="AZ239" s="10"/>
      <c r="BA239" s="10"/>
      <c r="BB239" s="10"/>
      <c r="BC239" s="10"/>
      <c r="BD239" s="10"/>
      <c r="BE239" s="10"/>
      <c r="BF239" s="10"/>
      <c r="BG239" s="10"/>
      <c r="BH239" s="10"/>
      <c r="BI239" s="10"/>
      <c r="BJ239" s="10"/>
      <c r="BK239" s="10"/>
      <c r="BL239" s="10"/>
    </row>
    <row r="240" spans="5:64" s="8" customFormat="1" x14ac:dyDescent="0.2">
      <c r="E240" s="85"/>
      <c r="AR240" s="10"/>
      <c r="AS240" s="10"/>
      <c r="AT240" s="10"/>
      <c r="AU240" s="10"/>
      <c r="AV240" s="10"/>
      <c r="AW240" s="10"/>
      <c r="AX240" s="10"/>
      <c r="AY240" s="10"/>
      <c r="AZ240" s="10"/>
      <c r="BA240" s="10"/>
      <c r="BB240" s="10"/>
      <c r="BC240" s="10"/>
      <c r="BD240" s="10"/>
      <c r="BE240" s="10"/>
      <c r="BF240" s="10"/>
      <c r="BG240" s="10"/>
      <c r="BH240" s="10"/>
      <c r="BI240" s="10"/>
      <c r="BJ240" s="10"/>
      <c r="BK240" s="10"/>
      <c r="BL240" s="10"/>
    </row>
    <row r="241" spans="5:64" s="8" customFormat="1" x14ac:dyDescent="0.2">
      <c r="E241" s="85"/>
      <c r="AR241" s="10"/>
      <c r="AS241" s="10"/>
      <c r="AT241" s="10"/>
      <c r="AU241" s="10"/>
      <c r="AV241" s="10"/>
      <c r="AW241" s="10"/>
      <c r="AX241" s="10"/>
      <c r="AY241" s="10"/>
      <c r="AZ241" s="10"/>
      <c r="BA241" s="10"/>
      <c r="BB241" s="10"/>
      <c r="BC241" s="10"/>
      <c r="BD241" s="10"/>
      <c r="BE241" s="10"/>
      <c r="BF241" s="10"/>
      <c r="BG241" s="10"/>
      <c r="BH241" s="10"/>
      <c r="BI241" s="10"/>
      <c r="BJ241" s="10"/>
      <c r="BK241" s="10"/>
      <c r="BL241" s="10"/>
    </row>
    <row r="242" spans="5:64" s="8" customFormat="1" x14ac:dyDescent="0.2">
      <c r="E242" s="85"/>
      <c r="AR242" s="10"/>
      <c r="AS242" s="10"/>
      <c r="AT242" s="10"/>
      <c r="AU242" s="10"/>
      <c r="AV242" s="10"/>
      <c r="AW242" s="10"/>
      <c r="AX242" s="10"/>
      <c r="AY242" s="10"/>
      <c r="AZ242" s="10"/>
      <c r="BA242" s="10"/>
      <c r="BB242" s="10"/>
      <c r="BC242" s="10"/>
      <c r="BD242" s="10"/>
      <c r="BE242" s="10"/>
      <c r="BF242" s="10"/>
      <c r="BG242" s="10"/>
      <c r="BH242" s="10"/>
      <c r="BI242" s="10"/>
      <c r="BJ242" s="10"/>
      <c r="BK242" s="10"/>
      <c r="BL242" s="10"/>
    </row>
    <row r="243" spans="5:64" s="8" customFormat="1" x14ac:dyDescent="0.2">
      <c r="E243" s="85"/>
      <c r="AR243" s="10"/>
      <c r="AS243" s="10"/>
      <c r="AT243" s="10"/>
      <c r="AU243" s="10"/>
      <c r="AV243" s="10"/>
      <c r="AW243" s="10"/>
      <c r="AX243" s="10"/>
      <c r="AY243" s="10"/>
      <c r="AZ243" s="10"/>
      <c r="BA243" s="10"/>
      <c r="BB243" s="10"/>
      <c r="BC243" s="10"/>
      <c r="BD243" s="10"/>
      <c r="BE243" s="10"/>
      <c r="BF243" s="10"/>
      <c r="BG243" s="10"/>
      <c r="BH243" s="10"/>
      <c r="BI243" s="10"/>
      <c r="BJ243" s="10"/>
      <c r="BK243" s="10"/>
      <c r="BL243" s="10"/>
    </row>
    <row r="244" spans="5:64" s="8" customFormat="1" x14ac:dyDescent="0.2">
      <c r="E244" s="85"/>
      <c r="AR244" s="10"/>
      <c r="AS244" s="10"/>
      <c r="AT244" s="10"/>
      <c r="AU244" s="10"/>
      <c r="AV244" s="10"/>
      <c r="AW244" s="10"/>
      <c r="AX244" s="10"/>
      <c r="AY244" s="10"/>
      <c r="AZ244" s="10"/>
      <c r="BA244" s="10"/>
      <c r="BB244" s="10"/>
      <c r="BC244" s="10"/>
      <c r="BD244" s="10"/>
      <c r="BE244" s="10"/>
      <c r="BF244" s="10"/>
      <c r="BG244" s="10"/>
      <c r="BH244" s="10"/>
      <c r="BI244" s="10"/>
      <c r="BJ244" s="10"/>
      <c r="BK244" s="10"/>
      <c r="BL244" s="10"/>
    </row>
    <row r="245" spans="5:64" s="8" customFormat="1" x14ac:dyDescent="0.2">
      <c r="E245" s="85"/>
      <c r="AR245" s="10"/>
      <c r="AS245" s="10"/>
      <c r="AT245" s="10"/>
      <c r="AU245" s="10"/>
      <c r="AV245" s="10"/>
      <c r="AW245" s="10"/>
      <c r="AX245" s="10"/>
      <c r="AY245" s="10"/>
      <c r="AZ245" s="10"/>
      <c r="BA245" s="10"/>
      <c r="BB245" s="10"/>
      <c r="BC245" s="10"/>
      <c r="BD245" s="10"/>
      <c r="BE245" s="10"/>
      <c r="BF245" s="10"/>
      <c r="BG245" s="10"/>
      <c r="BH245" s="10"/>
      <c r="BI245" s="10"/>
      <c r="BJ245" s="10"/>
      <c r="BK245" s="10"/>
      <c r="BL245" s="10"/>
    </row>
    <row r="246" spans="5:64" s="8" customFormat="1" x14ac:dyDescent="0.2">
      <c r="E246" s="85"/>
      <c r="AR246" s="10"/>
      <c r="AS246" s="10"/>
      <c r="AT246" s="10"/>
      <c r="AU246" s="10"/>
      <c r="AV246" s="10"/>
      <c r="AW246" s="10"/>
      <c r="AX246" s="10"/>
      <c r="AY246" s="10"/>
      <c r="AZ246" s="10"/>
      <c r="BA246" s="10"/>
      <c r="BB246" s="10"/>
      <c r="BC246" s="10"/>
      <c r="BD246" s="10"/>
      <c r="BE246" s="10"/>
      <c r="BF246" s="10"/>
      <c r="BG246" s="10"/>
      <c r="BH246" s="10"/>
      <c r="BI246" s="10"/>
      <c r="BJ246" s="10"/>
      <c r="BK246" s="10"/>
      <c r="BL246" s="10"/>
    </row>
    <row r="247" spans="5:64" s="8" customFormat="1" x14ac:dyDescent="0.2">
      <c r="E247" s="85"/>
      <c r="AR247" s="10"/>
      <c r="AS247" s="10"/>
      <c r="AT247" s="10"/>
      <c r="AU247" s="10"/>
      <c r="AV247" s="10"/>
      <c r="AW247" s="10"/>
      <c r="AX247" s="10"/>
      <c r="AY247" s="10"/>
      <c r="AZ247" s="10"/>
      <c r="BA247" s="10"/>
      <c r="BB247" s="10"/>
      <c r="BC247" s="10"/>
      <c r="BD247" s="10"/>
      <c r="BE247" s="10"/>
      <c r="BF247" s="10"/>
      <c r="BG247" s="10"/>
      <c r="BH247" s="10"/>
      <c r="BI247" s="10"/>
      <c r="BJ247" s="10"/>
      <c r="BK247" s="10"/>
      <c r="BL247" s="10"/>
    </row>
    <row r="248" spans="5:64" s="8" customFormat="1" x14ac:dyDescent="0.2">
      <c r="E248" s="85"/>
      <c r="AR248" s="10"/>
      <c r="AS248" s="10"/>
      <c r="AT248" s="10"/>
      <c r="AU248" s="10"/>
      <c r="AV248" s="10"/>
      <c r="AW248" s="10"/>
      <c r="AX248" s="10"/>
      <c r="AY248" s="10"/>
      <c r="AZ248" s="10"/>
      <c r="BA248" s="10"/>
      <c r="BB248" s="10"/>
      <c r="BC248" s="10"/>
      <c r="BD248" s="10"/>
      <c r="BE248" s="10"/>
      <c r="BF248" s="10"/>
      <c r="BG248" s="10"/>
      <c r="BH248" s="10"/>
      <c r="BI248" s="10"/>
      <c r="BJ248" s="10"/>
      <c r="BK248" s="10"/>
      <c r="BL248" s="10"/>
    </row>
    <row r="249" spans="5:64" s="8" customFormat="1" x14ac:dyDescent="0.2">
      <c r="E249" s="85"/>
      <c r="AR249" s="10"/>
      <c r="AS249" s="10"/>
      <c r="AT249" s="10"/>
      <c r="AU249" s="10"/>
      <c r="AV249" s="10"/>
      <c r="AW249" s="10"/>
      <c r="AX249" s="10"/>
      <c r="AY249" s="10"/>
      <c r="AZ249" s="10"/>
      <c r="BA249" s="10"/>
      <c r="BB249" s="10"/>
      <c r="BC249" s="10"/>
      <c r="BD249" s="10"/>
      <c r="BE249" s="10"/>
      <c r="BF249" s="10"/>
      <c r="BG249" s="10"/>
      <c r="BH249" s="10"/>
      <c r="BI249" s="10"/>
      <c r="BJ249" s="10"/>
      <c r="BK249" s="10"/>
      <c r="BL249" s="10"/>
    </row>
    <row r="250" spans="5:64" s="8" customFormat="1" x14ac:dyDescent="0.2">
      <c r="E250" s="85"/>
      <c r="AR250" s="10"/>
      <c r="AS250" s="10"/>
      <c r="AT250" s="10"/>
      <c r="AU250" s="10"/>
      <c r="AV250" s="10"/>
      <c r="AW250" s="10"/>
      <c r="AX250" s="10"/>
      <c r="AY250" s="10"/>
      <c r="AZ250" s="10"/>
      <c r="BA250" s="10"/>
      <c r="BB250" s="10"/>
      <c r="BC250" s="10"/>
      <c r="BD250" s="10"/>
      <c r="BE250" s="10"/>
      <c r="BF250" s="10"/>
      <c r="BG250" s="10"/>
      <c r="BH250" s="10"/>
      <c r="BI250" s="10"/>
      <c r="BJ250" s="10"/>
      <c r="BK250" s="10"/>
      <c r="BL250" s="10"/>
    </row>
    <row r="251" spans="5:64" s="8" customFormat="1" x14ac:dyDescent="0.2">
      <c r="E251" s="85"/>
      <c r="AR251" s="10"/>
      <c r="AS251" s="10"/>
      <c r="AT251" s="10"/>
      <c r="AU251" s="10"/>
      <c r="AV251" s="10"/>
      <c r="AW251" s="10"/>
      <c r="AX251" s="10"/>
      <c r="AY251" s="10"/>
      <c r="AZ251" s="10"/>
      <c r="BA251" s="10"/>
      <c r="BB251" s="10"/>
      <c r="BC251" s="10"/>
      <c r="BD251" s="10"/>
      <c r="BE251" s="10"/>
      <c r="BF251" s="10"/>
      <c r="BG251" s="10"/>
      <c r="BH251" s="10"/>
      <c r="BI251" s="10"/>
      <c r="BJ251" s="10"/>
      <c r="BK251" s="10"/>
      <c r="BL251" s="10"/>
    </row>
    <row r="252" spans="5:64" s="8" customFormat="1" x14ac:dyDescent="0.2">
      <c r="E252" s="85"/>
      <c r="AR252" s="10"/>
      <c r="AS252" s="10"/>
      <c r="AT252" s="10"/>
      <c r="AU252" s="10"/>
      <c r="AV252" s="10"/>
      <c r="AW252" s="10"/>
      <c r="AX252" s="10"/>
      <c r="AY252" s="10"/>
      <c r="AZ252" s="10"/>
      <c r="BA252" s="10"/>
      <c r="BB252" s="10"/>
      <c r="BC252" s="10"/>
      <c r="BD252" s="10"/>
      <c r="BE252" s="10"/>
      <c r="BF252" s="10"/>
      <c r="BG252" s="10"/>
      <c r="BH252" s="10"/>
      <c r="BI252" s="10"/>
      <c r="BJ252" s="10"/>
      <c r="BK252" s="10"/>
      <c r="BL252" s="10"/>
    </row>
    <row r="253" spans="5:64" s="8" customFormat="1" x14ac:dyDescent="0.2">
      <c r="E253" s="85"/>
      <c r="AR253" s="10"/>
      <c r="AS253" s="10"/>
      <c r="AT253" s="10"/>
      <c r="AU253" s="10"/>
      <c r="AV253" s="10"/>
      <c r="AW253" s="10"/>
      <c r="AX253" s="10"/>
      <c r="AY253" s="10"/>
      <c r="AZ253" s="10"/>
      <c r="BA253" s="10"/>
      <c r="BB253" s="10"/>
      <c r="BC253" s="10"/>
      <c r="BD253" s="10"/>
      <c r="BE253" s="10"/>
      <c r="BF253" s="10"/>
      <c r="BG253" s="10"/>
      <c r="BH253" s="10"/>
      <c r="BI253" s="10"/>
      <c r="BJ253" s="10"/>
      <c r="BK253" s="10"/>
      <c r="BL253" s="10"/>
    </row>
    <row r="254" spans="5:64" s="8" customFormat="1" x14ac:dyDescent="0.2">
      <c r="E254" s="85"/>
      <c r="AR254" s="10"/>
      <c r="AS254" s="10"/>
      <c r="AT254" s="10"/>
      <c r="AU254" s="10"/>
      <c r="AV254" s="10"/>
      <c r="AW254" s="10"/>
      <c r="AX254" s="10"/>
      <c r="AY254" s="10"/>
      <c r="AZ254" s="10"/>
      <c r="BA254" s="10"/>
      <c r="BB254" s="10"/>
      <c r="BC254" s="10"/>
      <c r="BD254" s="10"/>
      <c r="BE254" s="10"/>
      <c r="BF254" s="10"/>
      <c r="BG254" s="10"/>
      <c r="BH254" s="10"/>
      <c r="BI254" s="10"/>
      <c r="BJ254" s="10"/>
      <c r="BK254" s="10"/>
      <c r="BL254" s="10"/>
    </row>
    <row r="255" spans="5:64" s="8" customFormat="1" x14ac:dyDescent="0.2">
      <c r="E255" s="85"/>
      <c r="AR255" s="10"/>
      <c r="AS255" s="10"/>
      <c r="AT255" s="10"/>
      <c r="AU255" s="10"/>
      <c r="AV255" s="10"/>
      <c r="AW255" s="10"/>
      <c r="AX255" s="10"/>
      <c r="AY255" s="10"/>
      <c r="AZ255" s="10"/>
      <c r="BA255" s="10"/>
      <c r="BB255" s="10"/>
      <c r="BC255" s="10"/>
      <c r="BD255" s="10"/>
      <c r="BE255" s="10"/>
      <c r="BF255" s="10"/>
      <c r="BG255" s="10"/>
      <c r="BH255" s="10"/>
      <c r="BI255" s="10"/>
      <c r="BJ255" s="10"/>
      <c r="BK255" s="10"/>
      <c r="BL255" s="10"/>
    </row>
    <row r="256" spans="5:64" s="8" customFormat="1" x14ac:dyDescent="0.2">
      <c r="E256" s="85"/>
      <c r="AR256" s="10"/>
      <c r="AS256" s="10"/>
      <c r="AT256" s="10"/>
      <c r="AU256" s="10"/>
      <c r="AV256" s="10"/>
      <c r="AW256" s="10"/>
      <c r="AX256" s="10"/>
      <c r="AY256" s="10"/>
      <c r="AZ256" s="10"/>
      <c r="BA256" s="10"/>
      <c r="BB256" s="10"/>
      <c r="BC256" s="10"/>
      <c r="BD256" s="10"/>
      <c r="BE256" s="10"/>
      <c r="BF256" s="10"/>
      <c r="BG256" s="10"/>
      <c r="BH256" s="10"/>
      <c r="BI256" s="10"/>
      <c r="BJ256" s="10"/>
      <c r="BK256" s="10"/>
      <c r="BL256" s="10"/>
    </row>
    <row r="257" spans="5:64" s="8" customFormat="1" x14ac:dyDescent="0.2">
      <c r="E257" s="85"/>
      <c r="AR257" s="10"/>
      <c r="AS257" s="10"/>
      <c r="AT257" s="10"/>
      <c r="AU257" s="10"/>
      <c r="AV257" s="10"/>
      <c r="AW257" s="10"/>
      <c r="AX257" s="10"/>
      <c r="AY257" s="10"/>
      <c r="AZ257" s="10"/>
      <c r="BA257" s="10"/>
      <c r="BB257" s="10"/>
      <c r="BC257" s="10"/>
      <c r="BD257" s="10"/>
      <c r="BE257" s="10"/>
      <c r="BF257" s="10"/>
      <c r="BG257" s="10"/>
      <c r="BH257" s="10"/>
      <c r="BI257" s="10"/>
      <c r="BJ257" s="10"/>
      <c r="BK257" s="10"/>
      <c r="BL257" s="10"/>
    </row>
    <row r="258" spans="5:64" s="8" customFormat="1" x14ac:dyDescent="0.2">
      <c r="E258" s="85"/>
      <c r="AR258" s="10"/>
      <c r="AS258" s="10"/>
      <c r="AT258" s="10"/>
      <c r="AU258" s="10"/>
      <c r="AV258" s="10"/>
      <c r="AW258" s="10"/>
      <c r="AX258" s="10"/>
      <c r="AY258" s="10"/>
      <c r="AZ258" s="10"/>
      <c r="BA258" s="10"/>
      <c r="BB258" s="10"/>
      <c r="BC258" s="10"/>
      <c r="BD258" s="10"/>
      <c r="BE258" s="10"/>
      <c r="BF258" s="10"/>
      <c r="BG258" s="10"/>
      <c r="BH258" s="10"/>
      <c r="BI258" s="10"/>
      <c r="BJ258" s="10"/>
      <c r="BK258" s="10"/>
      <c r="BL258" s="10"/>
    </row>
    <row r="259" spans="5:64" s="8" customFormat="1" x14ac:dyDescent="0.2">
      <c r="E259" s="85"/>
      <c r="AR259" s="10"/>
      <c r="AS259" s="10"/>
      <c r="AT259" s="10"/>
      <c r="AU259" s="10"/>
      <c r="AV259" s="10"/>
      <c r="AW259" s="10"/>
      <c r="AX259" s="10"/>
      <c r="AY259" s="10"/>
      <c r="AZ259" s="10"/>
      <c r="BA259" s="10"/>
      <c r="BB259" s="10"/>
      <c r="BC259" s="10"/>
      <c r="BD259" s="10"/>
      <c r="BE259" s="10"/>
      <c r="BF259" s="10"/>
      <c r="BG259" s="10"/>
      <c r="BH259" s="10"/>
      <c r="BI259" s="10"/>
      <c r="BJ259" s="10"/>
      <c r="BK259" s="10"/>
      <c r="BL259" s="10"/>
    </row>
    <row r="260" spans="5:64" s="8" customFormat="1" x14ac:dyDescent="0.2">
      <c r="E260" s="85"/>
      <c r="AR260" s="10"/>
      <c r="AS260" s="10"/>
      <c r="AT260" s="10"/>
      <c r="AU260" s="10"/>
      <c r="AV260" s="10"/>
      <c r="AW260" s="10"/>
      <c r="AX260" s="10"/>
      <c r="AY260" s="10"/>
      <c r="AZ260" s="10"/>
      <c r="BA260" s="10"/>
      <c r="BB260" s="10"/>
      <c r="BC260" s="10"/>
      <c r="BD260" s="10"/>
      <c r="BE260" s="10"/>
      <c r="BF260" s="10"/>
      <c r="BG260" s="10"/>
      <c r="BH260" s="10"/>
      <c r="BI260" s="10"/>
      <c r="BJ260" s="10"/>
      <c r="BK260" s="10"/>
      <c r="BL260" s="10"/>
    </row>
    <row r="261" spans="5:64" s="8" customFormat="1" x14ac:dyDescent="0.2">
      <c r="E261" s="85"/>
      <c r="AR261" s="10"/>
      <c r="AS261" s="10"/>
      <c r="AT261" s="10"/>
      <c r="AU261" s="10"/>
      <c r="AV261" s="10"/>
      <c r="AW261" s="10"/>
      <c r="AX261" s="10"/>
      <c r="AY261" s="10"/>
      <c r="AZ261" s="10"/>
      <c r="BA261" s="10"/>
      <c r="BB261" s="10"/>
      <c r="BC261" s="10"/>
      <c r="BD261" s="10"/>
      <c r="BE261" s="10"/>
      <c r="BF261" s="10"/>
      <c r="BG261" s="10"/>
      <c r="BH261" s="10"/>
      <c r="BI261" s="10"/>
      <c r="BJ261" s="10"/>
      <c r="BK261" s="10"/>
      <c r="BL261" s="10"/>
    </row>
    <row r="262" spans="5:64" s="8" customFormat="1" x14ac:dyDescent="0.2">
      <c r="E262" s="85"/>
      <c r="AR262" s="10"/>
      <c r="AS262" s="10"/>
      <c r="AT262" s="10"/>
      <c r="AU262" s="10"/>
      <c r="AV262" s="10"/>
      <c r="AW262" s="10"/>
      <c r="AX262" s="10"/>
      <c r="AY262" s="10"/>
      <c r="AZ262" s="10"/>
      <c r="BA262" s="10"/>
      <c r="BB262" s="10"/>
      <c r="BC262" s="10"/>
      <c r="BD262" s="10"/>
      <c r="BE262" s="10"/>
      <c r="BF262" s="10"/>
      <c r="BG262" s="10"/>
      <c r="BH262" s="10"/>
      <c r="BI262" s="10"/>
      <c r="BJ262" s="10"/>
      <c r="BK262" s="10"/>
      <c r="BL262" s="10"/>
    </row>
    <row r="263" spans="5:64" s="8" customFormat="1" x14ac:dyDescent="0.2">
      <c r="E263" s="85"/>
      <c r="AR263" s="10"/>
      <c r="AS263" s="10"/>
      <c r="AT263" s="10"/>
      <c r="AU263" s="10"/>
      <c r="AV263" s="10"/>
      <c r="AW263" s="10"/>
      <c r="AX263" s="10"/>
      <c r="AY263" s="10"/>
      <c r="AZ263" s="10"/>
      <c r="BA263" s="10"/>
      <c r="BB263" s="10"/>
      <c r="BC263" s="10"/>
      <c r="BD263" s="10"/>
      <c r="BE263" s="10"/>
      <c r="BF263" s="10"/>
      <c r="BG263" s="10"/>
      <c r="BH263" s="10"/>
      <c r="BI263" s="10"/>
      <c r="BJ263" s="10"/>
      <c r="BK263" s="10"/>
      <c r="BL263" s="10"/>
    </row>
    <row r="264" spans="5:64" s="8" customFormat="1" x14ac:dyDescent="0.2">
      <c r="E264" s="85"/>
      <c r="AR264" s="10"/>
      <c r="AS264" s="10"/>
      <c r="AT264" s="10"/>
      <c r="AU264" s="10"/>
      <c r="AV264" s="10"/>
      <c r="AW264" s="10"/>
      <c r="AX264" s="10"/>
      <c r="AY264" s="10"/>
      <c r="AZ264" s="10"/>
      <c r="BA264" s="10"/>
      <c r="BB264" s="10"/>
      <c r="BC264" s="10"/>
      <c r="BD264" s="10"/>
      <c r="BE264" s="10"/>
      <c r="BF264" s="10"/>
      <c r="BG264" s="10"/>
      <c r="BH264" s="10"/>
      <c r="BI264" s="10"/>
      <c r="BJ264" s="10"/>
      <c r="BK264" s="10"/>
      <c r="BL264" s="10"/>
    </row>
    <row r="265" spans="5:64" s="8" customFormat="1" x14ac:dyDescent="0.2">
      <c r="E265" s="85"/>
      <c r="AR265" s="10"/>
      <c r="AS265" s="10"/>
      <c r="AT265" s="10"/>
      <c r="AU265" s="10"/>
      <c r="AV265" s="10"/>
      <c r="AW265" s="10"/>
      <c r="AX265" s="10"/>
      <c r="AY265" s="10"/>
      <c r="AZ265" s="10"/>
      <c r="BA265" s="10"/>
      <c r="BB265" s="10"/>
      <c r="BC265" s="10"/>
      <c r="BD265" s="10"/>
      <c r="BE265" s="10"/>
      <c r="BF265" s="10"/>
      <c r="BG265" s="10"/>
      <c r="BH265" s="10"/>
      <c r="BI265" s="10"/>
      <c r="BJ265" s="10"/>
      <c r="BK265" s="10"/>
      <c r="BL265" s="10"/>
    </row>
    <row r="266" spans="5:64" s="8" customFormat="1" x14ac:dyDescent="0.2">
      <c r="E266" s="85"/>
      <c r="AR266" s="10"/>
      <c r="AS266" s="10"/>
      <c r="AT266" s="10"/>
      <c r="AU266" s="10"/>
      <c r="AV266" s="10"/>
      <c r="AW266" s="10"/>
      <c r="AX266" s="10"/>
      <c r="AY266" s="10"/>
      <c r="AZ266" s="10"/>
      <c r="BA266" s="10"/>
      <c r="BB266" s="10"/>
      <c r="BC266" s="10"/>
      <c r="BD266" s="10"/>
      <c r="BE266" s="10"/>
      <c r="BF266" s="10"/>
      <c r="BG266" s="10"/>
      <c r="BH266" s="10"/>
      <c r="BI266" s="10"/>
      <c r="BJ266" s="10"/>
      <c r="BK266" s="10"/>
      <c r="BL266" s="10"/>
    </row>
    <row r="267" spans="5:64" s="8" customFormat="1" x14ac:dyDescent="0.2">
      <c r="E267" s="85"/>
      <c r="AR267" s="10"/>
      <c r="AS267" s="10"/>
      <c r="AT267" s="10"/>
      <c r="AU267" s="10"/>
      <c r="AV267" s="10"/>
      <c r="AW267" s="10"/>
      <c r="AX267" s="10"/>
      <c r="AY267" s="10"/>
      <c r="AZ267" s="10"/>
      <c r="BA267" s="10"/>
      <c r="BB267" s="10"/>
      <c r="BC267" s="10"/>
      <c r="BD267" s="10"/>
      <c r="BE267" s="10"/>
      <c r="BF267" s="10"/>
      <c r="BG267" s="10"/>
      <c r="BH267" s="10"/>
      <c r="BI267" s="10"/>
      <c r="BJ267" s="10"/>
      <c r="BK267" s="10"/>
      <c r="BL267" s="10"/>
    </row>
    <row r="268" spans="5:64" s="8" customFormat="1" x14ac:dyDescent="0.2">
      <c r="E268" s="85"/>
      <c r="AR268" s="10"/>
      <c r="AS268" s="10"/>
      <c r="AT268" s="10"/>
      <c r="AU268" s="10"/>
      <c r="AV268" s="10"/>
      <c r="AW268" s="10"/>
      <c r="AX268" s="10"/>
      <c r="AY268" s="10"/>
      <c r="AZ268" s="10"/>
      <c r="BA268" s="10"/>
      <c r="BB268" s="10"/>
      <c r="BC268" s="10"/>
      <c r="BD268" s="10"/>
      <c r="BE268" s="10"/>
      <c r="BF268" s="10"/>
      <c r="BG268" s="10"/>
      <c r="BH268" s="10"/>
      <c r="BI268" s="10"/>
      <c r="BJ268" s="10"/>
      <c r="BK268" s="10"/>
      <c r="BL268" s="10"/>
    </row>
    <row r="269" spans="5:64" s="8" customFormat="1" x14ac:dyDescent="0.2">
      <c r="E269" s="85"/>
      <c r="AR269" s="10"/>
      <c r="AS269" s="10"/>
      <c r="AT269" s="10"/>
      <c r="AU269" s="10"/>
      <c r="AV269" s="10"/>
      <c r="AW269" s="10"/>
      <c r="AX269" s="10"/>
      <c r="AY269" s="10"/>
      <c r="AZ269" s="10"/>
      <c r="BA269" s="10"/>
      <c r="BB269" s="10"/>
      <c r="BC269" s="10"/>
      <c r="BD269" s="10"/>
      <c r="BE269" s="10"/>
      <c r="BF269" s="10"/>
      <c r="BG269" s="10"/>
      <c r="BH269" s="10"/>
      <c r="BI269" s="10"/>
      <c r="BJ269" s="10"/>
      <c r="BK269" s="10"/>
      <c r="BL269" s="10"/>
    </row>
    <row r="270" spans="5:64" s="8" customFormat="1" x14ac:dyDescent="0.2">
      <c r="E270" s="85"/>
      <c r="AR270" s="10"/>
      <c r="AS270" s="10"/>
      <c r="AT270" s="10"/>
      <c r="AU270" s="10"/>
      <c r="AV270" s="10"/>
      <c r="AW270" s="10"/>
      <c r="AX270" s="10"/>
      <c r="AY270" s="10"/>
      <c r="AZ270" s="10"/>
      <c r="BA270" s="10"/>
      <c r="BB270" s="10"/>
      <c r="BC270" s="10"/>
      <c r="BD270" s="10"/>
      <c r="BE270" s="10"/>
      <c r="BF270" s="10"/>
      <c r="BG270" s="10"/>
      <c r="BH270" s="10"/>
      <c r="BI270" s="10"/>
      <c r="BJ270" s="10"/>
      <c r="BK270" s="10"/>
      <c r="BL270" s="10"/>
    </row>
    <row r="271" spans="5:64" s="8" customFormat="1" x14ac:dyDescent="0.2">
      <c r="E271" s="85"/>
      <c r="AR271" s="10"/>
      <c r="AS271" s="10"/>
      <c r="AT271" s="10"/>
      <c r="AU271" s="10"/>
      <c r="AV271" s="10"/>
      <c r="AW271" s="10"/>
      <c r="AX271" s="10"/>
      <c r="AY271" s="10"/>
      <c r="AZ271" s="10"/>
      <c r="BA271" s="10"/>
      <c r="BB271" s="10"/>
      <c r="BC271" s="10"/>
      <c r="BD271" s="10"/>
      <c r="BE271" s="10"/>
      <c r="BF271" s="10"/>
      <c r="BG271" s="10"/>
      <c r="BH271" s="10"/>
      <c r="BI271" s="10"/>
      <c r="BJ271" s="10"/>
      <c r="BK271" s="10"/>
      <c r="BL271" s="10"/>
    </row>
    <row r="272" spans="5:64" s="8" customFormat="1" x14ac:dyDescent="0.2">
      <c r="E272" s="85"/>
      <c r="AR272" s="10"/>
      <c r="AS272" s="10"/>
      <c r="AT272" s="10"/>
      <c r="AU272" s="10"/>
      <c r="AV272" s="10"/>
      <c r="AW272" s="10"/>
      <c r="AX272" s="10"/>
      <c r="AY272" s="10"/>
      <c r="AZ272" s="10"/>
      <c r="BA272" s="10"/>
      <c r="BB272" s="10"/>
      <c r="BC272" s="10"/>
      <c r="BD272" s="10"/>
      <c r="BE272" s="10"/>
      <c r="BF272" s="10"/>
      <c r="BG272" s="10"/>
      <c r="BH272" s="10"/>
      <c r="BI272" s="10"/>
      <c r="BJ272" s="10"/>
      <c r="BK272" s="10"/>
      <c r="BL272" s="10"/>
    </row>
    <row r="273" spans="5:64" s="8" customFormat="1" x14ac:dyDescent="0.2">
      <c r="E273" s="85"/>
      <c r="AR273" s="10"/>
      <c r="AS273" s="10"/>
      <c r="AT273" s="10"/>
      <c r="AU273" s="10"/>
      <c r="AV273" s="10"/>
      <c r="AW273" s="10"/>
      <c r="AX273" s="10"/>
      <c r="AY273" s="10"/>
      <c r="AZ273" s="10"/>
      <c r="BA273" s="10"/>
      <c r="BB273" s="10"/>
      <c r="BC273" s="10"/>
      <c r="BD273" s="10"/>
      <c r="BE273" s="10"/>
      <c r="BF273" s="10"/>
      <c r="BG273" s="10"/>
      <c r="BH273" s="10"/>
      <c r="BI273" s="10"/>
      <c r="BJ273" s="10"/>
      <c r="BK273" s="10"/>
      <c r="BL273" s="10"/>
    </row>
    <row r="274" spans="5:64" s="8" customFormat="1" x14ac:dyDescent="0.2">
      <c r="E274" s="85"/>
      <c r="AR274" s="10"/>
      <c r="AS274" s="10"/>
      <c r="AT274" s="10"/>
      <c r="AU274" s="10"/>
      <c r="AV274" s="10"/>
      <c r="AW274" s="10"/>
      <c r="AX274" s="10"/>
      <c r="AY274" s="10"/>
      <c r="AZ274" s="10"/>
      <c r="BA274" s="10"/>
      <c r="BB274" s="10"/>
      <c r="BC274" s="10"/>
      <c r="BD274" s="10"/>
      <c r="BE274" s="10"/>
      <c r="BF274" s="10"/>
      <c r="BG274" s="10"/>
      <c r="BH274" s="10"/>
      <c r="BI274" s="10"/>
      <c r="BJ274" s="10"/>
      <c r="BK274" s="10"/>
      <c r="BL274" s="10"/>
    </row>
    <row r="275" spans="5:64" s="8" customFormat="1" x14ac:dyDescent="0.2">
      <c r="E275" s="85"/>
      <c r="AR275" s="10"/>
      <c r="AS275" s="10"/>
      <c r="AT275" s="10"/>
      <c r="AU275" s="10"/>
      <c r="AV275" s="10"/>
      <c r="AW275" s="10"/>
      <c r="AX275" s="10"/>
      <c r="AY275" s="10"/>
      <c r="AZ275" s="10"/>
      <c r="BA275" s="10"/>
      <c r="BB275" s="10"/>
      <c r="BC275" s="10"/>
      <c r="BD275" s="10"/>
      <c r="BE275" s="10"/>
      <c r="BF275" s="10"/>
      <c r="BG275" s="10"/>
      <c r="BH275" s="10"/>
      <c r="BI275" s="10"/>
      <c r="BJ275" s="10"/>
      <c r="BK275" s="10"/>
      <c r="BL275" s="10"/>
    </row>
    <row r="276" spans="5:64" s="8" customFormat="1" x14ac:dyDescent="0.2">
      <c r="E276" s="85"/>
      <c r="AR276" s="10"/>
      <c r="AS276" s="10"/>
      <c r="AT276" s="10"/>
      <c r="AU276" s="10"/>
      <c r="AV276" s="10"/>
      <c r="AW276" s="10"/>
      <c r="AX276" s="10"/>
      <c r="AY276" s="10"/>
      <c r="AZ276" s="10"/>
      <c r="BA276" s="10"/>
      <c r="BB276" s="10"/>
      <c r="BC276" s="10"/>
      <c r="BD276" s="10"/>
      <c r="BE276" s="10"/>
      <c r="BF276" s="10"/>
      <c r="BG276" s="10"/>
      <c r="BH276" s="10"/>
      <c r="BI276" s="10"/>
      <c r="BJ276" s="10"/>
      <c r="BK276" s="10"/>
      <c r="BL276" s="10"/>
    </row>
    <row r="277" spans="5:64" s="8" customFormat="1" x14ac:dyDescent="0.2">
      <c r="E277" s="85"/>
      <c r="AR277" s="10"/>
      <c r="AS277" s="10"/>
      <c r="AT277" s="10"/>
      <c r="AU277" s="10"/>
      <c r="AV277" s="10"/>
      <c r="AW277" s="10"/>
      <c r="AX277" s="10"/>
      <c r="AY277" s="10"/>
      <c r="AZ277" s="10"/>
      <c r="BA277" s="10"/>
      <c r="BB277" s="10"/>
      <c r="BC277" s="10"/>
      <c r="BD277" s="10"/>
      <c r="BE277" s="10"/>
      <c r="BF277" s="10"/>
      <c r="BG277" s="10"/>
      <c r="BH277" s="10"/>
      <c r="BI277" s="10"/>
      <c r="BJ277" s="10"/>
      <c r="BK277" s="10"/>
      <c r="BL277" s="10"/>
    </row>
    <row r="278" spans="5:64" s="8" customFormat="1" x14ac:dyDescent="0.2">
      <c r="E278" s="85"/>
      <c r="AR278" s="10"/>
      <c r="AS278" s="10"/>
      <c r="AT278" s="10"/>
      <c r="AU278" s="10"/>
      <c r="AV278" s="10"/>
      <c r="AW278" s="10"/>
      <c r="AX278" s="10"/>
      <c r="AY278" s="10"/>
      <c r="AZ278" s="10"/>
      <c r="BA278" s="10"/>
      <c r="BB278" s="10"/>
      <c r="BC278" s="10"/>
      <c r="BD278" s="10"/>
      <c r="BE278" s="10"/>
      <c r="BF278" s="10"/>
      <c r="BG278" s="10"/>
      <c r="BH278" s="10"/>
      <c r="BI278" s="10"/>
      <c r="BJ278" s="10"/>
      <c r="BK278" s="10"/>
      <c r="BL278" s="10"/>
    </row>
    <row r="279" spans="5:64" s="8" customFormat="1" x14ac:dyDescent="0.2">
      <c r="E279" s="85"/>
      <c r="AR279" s="10"/>
      <c r="AS279" s="10"/>
      <c r="AT279" s="10"/>
      <c r="AU279" s="10"/>
      <c r="AV279" s="10"/>
      <c r="AW279" s="10"/>
      <c r="AX279" s="10"/>
      <c r="AY279" s="10"/>
      <c r="AZ279" s="10"/>
      <c r="BA279" s="10"/>
      <c r="BB279" s="10"/>
      <c r="BC279" s="10"/>
      <c r="BD279" s="10"/>
      <c r="BE279" s="10"/>
      <c r="BF279" s="10"/>
      <c r="BG279" s="10"/>
      <c r="BH279" s="10"/>
      <c r="BI279" s="10"/>
      <c r="BJ279" s="10"/>
      <c r="BK279" s="10"/>
      <c r="BL279" s="10"/>
    </row>
    <row r="280" spans="5:64" s="8" customFormat="1" x14ac:dyDescent="0.2">
      <c r="E280" s="85"/>
      <c r="AR280" s="10"/>
      <c r="AS280" s="10"/>
      <c r="AT280" s="10"/>
      <c r="AU280" s="10"/>
      <c r="AV280" s="10"/>
      <c r="AW280" s="10"/>
      <c r="AX280" s="10"/>
      <c r="AY280" s="10"/>
      <c r="AZ280" s="10"/>
      <c r="BA280" s="10"/>
      <c r="BB280" s="10"/>
      <c r="BC280" s="10"/>
      <c r="BD280" s="10"/>
      <c r="BE280" s="10"/>
      <c r="BF280" s="10"/>
      <c r="BG280" s="10"/>
      <c r="BH280" s="10"/>
      <c r="BI280" s="10"/>
      <c r="BJ280" s="10"/>
      <c r="BK280" s="10"/>
      <c r="BL280" s="10"/>
    </row>
    <row r="281" spans="5:64" s="8" customFormat="1" x14ac:dyDescent="0.2">
      <c r="E281" s="85"/>
      <c r="AR281" s="10"/>
      <c r="AS281" s="10"/>
      <c r="AT281" s="10"/>
      <c r="AU281" s="10"/>
      <c r="AV281" s="10"/>
      <c r="AW281" s="10"/>
      <c r="AX281" s="10"/>
      <c r="AY281" s="10"/>
      <c r="AZ281" s="10"/>
      <c r="BA281" s="10"/>
      <c r="BB281" s="10"/>
      <c r="BC281" s="10"/>
      <c r="BD281" s="10"/>
      <c r="BE281" s="10"/>
      <c r="BF281" s="10"/>
      <c r="BG281" s="10"/>
      <c r="BH281" s="10"/>
      <c r="BI281" s="10"/>
      <c r="BJ281" s="10"/>
      <c r="BK281" s="10"/>
      <c r="BL281" s="10"/>
    </row>
    <row r="282" spans="5:64" s="8" customFormat="1" x14ac:dyDescent="0.2">
      <c r="E282" s="85"/>
      <c r="AR282" s="10"/>
      <c r="AS282" s="10"/>
      <c r="AT282" s="10"/>
      <c r="AU282" s="10"/>
      <c r="AV282" s="10"/>
      <c r="AW282" s="10"/>
      <c r="AX282" s="10"/>
      <c r="AY282" s="10"/>
      <c r="AZ282" s="10"/>
      <c r="BA282" s="10"/>
      <c r="BB282" s="10"/>
      <c r="BC282" s="10"/>
      <c r="BD282" s="10"/>
      <c r="BE282" s="10"/>
      <c r="BF282" s="10"/>
      <c r="BG282" s="10"/>
      <c r="BH282" s="10"/>
      <c r="BI282" s="10"/>
      <c r="BJ282" s="10"/>
      <c r="BK282" s="10"/>
      <c r="BL282" s="10"/>
    </row>
    <row r="283" spans="5:64" s="8" customFormat="1" x14ac:dyDescent="0.2">
      <c r="E283" s="85"/>
      <c r="AR283" s="10"/>
      <c r="AS283" s="10"/>
      <c r="AT283" s="10"/>
      <c r="AU283" s="10"/>
      <c r="AV283" s="10"/>
      <c r="AW283" s="10"/>
      <c r="AX283" s="10"/>
      <c r="AY283" s="10"/>
      <c r="AZ283" s="10"/>
      <c r="BA283" s="10"/>
      <c r="BB283" s="10"/>
      <c r="BC283" s="10"/>
      <c r="BD283" s="10"/>
      <c r="BE283" s="10"/>
      <c r="BF283" s="10"/>
      <c r="BG283" s="10"/>
      <c r="BH283" s="10"/>
      <c r="BI283" s="10"/>
      <c r="BJ283" s="10"/>
      <c r="BK283" s="10"/>
      <c r="BL283" s="10"/>
    </row>
    <row r="284" spans="5:64" s="8" customFormat="1" x14ac:dyDescent="0.2">
      <c r="E284" s="85"/>
      <c r="AR284" s="10"/>
      <c r="AS284" s="10"/>
      <c r="AT284" s="10"/>
      <c r="AU284" s="10"/>
      <c r="AV284" s="10"/>
      <c r="AW284" s="10"/>
      <c r="AX284" s="10"/>
      <c r="AY284" s="10"/>
      <c r="AZ284" s="10"/>
      <c r="BA284" s="10"/>
      <c r="BB284" s="10"/>
      <c r="BC284" s="10"/>
      <c r="BD284" s="10"/>
      <c r="BE284" s="10"/>
      <c r="BF284" s="10"/>
      <c r="BG284" s="10"/>
      <c r="BH284" s="10"/>
      <c r="BI284" s="10"/>
      <c r="BJ284" s="10"/>
      <c r="BK284" s="10"/>
      <c r="BL284" s="10"/>
    </row>
    <row r="285" spans="5:64" s="8" customFormat="1" x14ac:dyDescent="0.2">
      <c r="E285" s="85"/>
      <c r="AR285" s="10"/>
      <c r="AS285" s="10"/>
      <c r="AT285" s="10"/>
      <c r="AU285" s="10"/>
      <c r="AV285" s="10"/>
      <c r="AW285" s="10"/>
      <c r="AX285" s="10"/>
      <c r="AY285" s="10"/>
      <c r="AZ285" s="10"/>
      <c r="BA285" s="10"/>
      <c r="BB285" s="10"/>
      <c r="BC285" s="10"/>
      <c r="BD285" s="10"/>
      <c r="BE285" s="10"/>
      <c r="BF285" s="10"/>
      <c r="BG285" s="10"/>
      <c r="BH285" s="10"/>
      <c r="BI285" s="10"/>
      <c r="BJ285" s="10"/>
      <c r="BK285" s="10"/>
      <c r="BL285" s="10"/>
    </row>
    <row r="286" spans="5:64" s="8" customFormat="1" x14ac:dyDescent="0.2">
      <c r="E286" s="85"/>
      <c r="AR286" s="10"/>
      <c r="AS286" s="10"/>
      <c r="AT286" s="10"/>
      <c r="AU286" s="10"/>
      <c r="AV286" s="10"/>
      <c r="AW286" s="10"/>
      <c r="AX286" s="10"/>
      <c r="AY286" s="10"/>
      <c r="AZ286" s="10"/>
      <c r="BA286" s="10"/>
      <c r="BB286" s="10"/>
      <c r="BC286" s="10"/>
      <c r="BD286" s="10"/>
      <c r="BE286" s="10"/>
      <c r="BF286" s="10"/>
      <c r="BG286" s="10"/>
      <c r="BH286" s="10"/>
      <c r="BI286" s="10"/>
      <c r="BJ286" s="10"/>
      <c r="BK286" s="10"/>
      <c r="BL286" s="10"/>
    </row>
    <row r="287" spans="5:64" s="8" customFormat="1" x14ac:dyDescent="0.2">
      <c r="E287" s="85"/>
      <c r="AR287" s="10"/>
      <c r="AS287" s="10"/>
      <c r="AT287" s="10"/>
      <c r="AU287" s="10"/>
      <c r="AV287" s="10"/>
      <c r="AW287" s="10"/>
      <c r="AX287" s="10"/>
      <c r="AY287" s="10"/>
      <c r="AZ287" s="10"/>
      <c r="BA287" s="10"/>
      <c r="BB287" s="10"/>
      <c r="BC287" s="10"/>
      <c r="BD287" s="10"/>
      <c r="BE287" s="10"/>
      <c r="BF287" s="10"/>
      <c r="BG287" s="10"/>
      <c r="BH287" s="10"/>
      <c r="BI287" s="10"/>
      <c r="BJ287" s="10"/>
      <c r="BK287" s="10"/>
      <c r="BL287" s="10"/>
    </row>
    <row r="288" spans="5:64" s="8" customFormat="1" x14ac:dyDescent="0.2">
      <c r="E288" s="85"/>
      <c r="AR288" s="10"/>
      <c r="AS288" s="10"/>
      <c r="AT288" s="10"/>
      <c r="AU288" s="10"/>
      <c r="AV288" s="10"/>
      <c r="AW288" s="10"/>
      <c r="AX288" s="10"/>
      <c r="AY288" s="10"/>
      <c r="AZ288" s="10"/>
      <c r="BA288" s="10"/>
      <c r="BB288" s="10"/>
      <c r="BC288" s="10"/>
      <c r="BD288" s="10"/>
      <c r="BE288" s="10"/>
      <c r="BF288" s="10"/>
      <c r="BG288" s="10"/>
      <c r="BH288" s="10"/>
      <c r="BI288" s="10"/>
      <c r="BJ288" s="10"/>
      <c r="BK288" s="10"/>
      <c r="BL288" s="10"/>
    </row>
    <row r="289" spans="5:64" s="8" customFormat="1" x14ac:dyDescent="0.2">
      <c r="E289" s="85"/>
      <c r="AR289" s="10"/>
      <c r="AS289" s="10"/>
      <c r="AT289" s="10"/>
      <c r="AU289" s="10"/>
      <c r="AV289" s="10"/>
      <c r="AW289" s="10"/>
      <c r="AX289" s="10"/>
      <c r="AY289" s="10"/>
      <c r="AZ289" s="10"/>
      <c r="BA289" s="10"/>
      <c r="BB289" s="10"/>
      <c r="BC289" s="10"/>
      <c r="BD289" s="10"/>
      <c r="BE289" s="10"/>
      <c r="BF289" s="10"/>
      <c r="BG289" s="10"/>
      <c r="BH289" s="10"/>
      <c r="BI289" s="10"/>
      <c r="BJ289" s="10"/>
      <c r="BK289" s="10"/>
      <c r="BL289" s="10"/>
    </row>
    <row r="290" spans="5:64" s="8" customFormat="1" x14ac:dyDescent="0.2">
      <c r="E290" s="85"/>
      <c r="AR290" s="10"/>
      <c r="AS290" s="10"/>
      <c r="AT290" s="10"/>
      <c r="AU290" s="10"/>
      <c r="AV290" s="10"/>
      <c r="AW290" s="10"/>
      <c r="AX290" s="10"/>
      <c r="AY290" s="10"/>
      <c r="AZ290" s="10"/>
      <c r="BA290" s="10"/>
      <c r="BB290" s="10"/>
      <c r="BC290" s="10"/>
      <c r="BD290" s="10"/>
      <c r="BE290" s="10"/>
      <c r="BF290" s="10"/>
      <c r="BG290" s="10"/>
      <c r="BH290" s="10"/>
      <c r="BI290" s="10"/>
      <c r="BJ290" s="10"/>
      <c r="BK290" s="10"/>
      <c r="BL290" s="10"/>
    </row>
    <row r="291" spans="5:64" s="8" customFormat="1" x14ac:dyDescent="0.2">
      <c r="E291" s="85"/>
      <c r="AR291" s="10"/>
      <c r="AS291" s="10"/>
      <c r="AT291" s="10"/>
      <c r="AU291" s="10"/>
      <c r="AV291" s="10"/>
      <c r="AW291" s="10"/>
      <c r="AX291" s="10"/>
      <c r="AY291" s="10"/>
      <c r="AZ291" s="10"/>
      <c r="BA291" s="10"/>
      <c r="BB291" s="10"/>
      <c r="BC291" s="10"/>
      <c r="BD291" s="10"/>
      <c r="BE291" s="10"/>
      <c r="BF291" s="10"/>
      <c r="BG291" s="10"/>
      <c r="BH291" s="10"/>
      <c r="BI291" s="10"/>
      <c r="BJ291" s="10"/>
      <c r="BK291" s="10"/>
      <c r="BL291" s="10"/>
    </row>
    <row r="292" spans="5:64" s="8" customFormat="1" x14ac:dyDescent="0.2">
      <c r="E292" s="85"/>
      <c r="AR292" s="10"/>
      <c r="AS292" s="10"/>
      <c r="AT292" s="10"/>
      <c r="AU292" s="10"/>
      <c r="AV292" s="10"/>
      <c r="AW292" s="10"/>
      <c r="AX292" s="10"/>
      <c r="AY292" s="10"/>
      <c r="AZ292" s="10"/>
      <c r="BA292" s="10"/>
      <c r="BB292" s="10"/>
      <c r="BC292" s="10"/>
      <c r="BD292" s="10"/>
      <c r="BE292" s="10"/>
      <c r="BF292" s="10"/>
      <c r="BG292" s="10"/>
      <c r="BH292" s="10"/>
      <c r="BI292" s="10"/>
      <c r="BJ292" s="10"/>
      <c r="BK292" s="10"/>
      <c r="BL292" s="10"/>
    </row>
    <row r="293" spans="5:64" s="8" customFormat="1" x14ac:dyDescent="0.2">
      <c r="E293" s="85"/>
      <c r="AR293" s="10"/>
      <c r="AS293" s="10"/>
      <c r="AT293" s="10"/>
      <c r="AU293" s="10"/>
      <c r="AV293" s="10"/>
      <c r="AW293" s="10"/>
      <c r="AX293" s="10"/>
      <c r="AY293" s="10"/>
      <c r="AZ293" s="10"/>
      <c r="BA293" s="10"/>
      <c r="BB293" s="10"/>
      <c r="BC293" s="10"/>
      <c r="BD293" s="10"/>
      <c r="BE293" s="10"/>
      <c r="BF293" s="10"/>
      <c r="BG293" s="10"/>
      <c r="BH293" s="10"/>
      <c r="BI293" s="10"/>
      <c r="BJ293" s="10"/>
      <c r="BK293" s="10"/>
      <c r="BL293" s="10"/>
    </row>
    <row r="294" spans="5:64" s="8" customFormat="1" x14ac:dyDescent="0.2">
      <c r="E294" s="85"/>
      <c r="AR294" s="10"/>
      <c r="AS294" s="10"/>
      <c r="AT294" s="10"/>
      <c r="AU294" s="10"/>
      <c r="AV294" s="10"/>
      <c r="AW294" s="10"/>
      <c r="AX294" s="10"/>
      <c r="AY294" s="10"/>
      <c r="AZ294" s="10"/>
      <c r="BA294" s="10"/>
      <c r="BB294" s="10"/>
      <c r="BC294" s="10"/>
      <c r="BD294" s="10"/>
      <c r="BE294" s="10"/>
      <c r="BF294" s="10"/>
      <c r="BG294" s="10"/>
      <c r="BH294" s="10"/>
      <c r="BI294" s="10"/>
      <c r="BJ294" s="10"/>
      <c r="BK294" s="10"/>
      <c r="BL294" s="10"/>
    </row>
    <row r="295" spans="5:64" s="8" customFormat="1" x14ac:dyDescent="0.2">
      <c r="E295" s="85"/>
      <c r="AR295" s="10"/>
      <c r="AS295" s="10"/>
      <c r="AT295" s="10"/>
      <c r="AU295" s="10"/>
      <c r="AV295" s="10"/>
      <c r="AW295" s="10"/>
      <c r="AX295" s="10"/>
      <c r="AY295" s="10"/>
      <c r="AZ295" s="10"/>
      <c r="BA295" s="10"/>
      <c r="BB295" s="10"/>
      <c r="BC295" s="10"/>
      <c r="BD295" s="10"/>
      <c r="BE295" s="10"/>
      <c r="BF295" s="10"/>
      <c r="BG295" s="10"/>
      <c r="BH295" s="10"/>
      <c r="BI295" s="10"/>
      <c r="BJ295" s="10"/>
      <c r="BK295" s="10"/>
      <c r="BL295" s="10"/>
    </row>
    <row r="296" spans="5:64" s="8" customFormat="1" x14ac:dyDescent="0.2">
      <c r="E296" s="85"/>
      <c r="AR296" s="10"/>
      <c r="AS296" s="10"/>
      <c r="AT296" s="10"/>
      <c r="AU296" s="10"/>
      <c r="AV296" s="10"/>
      <c r="AW296" s="10"/>
      <c r="AX296" s="10"/>
      <c r="AY296" s="10"/>
      <c r="AZ296" s="10"/>
      <c r="BA296" s="10"/>
      <c r="BB296" s="10"/>
      <c r="BC296" s="10"/>
      <c r="BD296" s="10"/>
      <c r="BE296" s="10"/>
      <c r="BF296" s="10"/>
      <c r="BG296" s="10"/>
      <c r="BH296" s="10"/>
      <c r="BI296" s="10"/>
      <c r="BJ296" s="10"/>
      <c r="BK296" s="10"/>
      <c r="BL296" s="10"/>
    </row>
    <row r="297" spans="5:64" s="8" customFormat="1" x14ac:dyDescent="0.2">
      <c r="E297" s="85"/>
      <c r="AR297" s="10"/>
      <c r="AS297" s="10"/>
      <c r="AT297" s="10"/>
      <c r="AU297" s="10"/>
      <c r="AV297" s="10"/>
      <c r="AW297" s="10"/>
      <c r="AX297" s="10"/>
      <c r="AY297" s="10"/>
      <c r="AZ297" s="10"/>
      <c r="BA297" s="10"/>
      <c r="BB297" s="10"/>
      <c r="BC297" s="10"/>
      <c r="BD297" s="10"/>
      <c r="BE297" s="10"/>
      <c r="BF297" s="10"/>
      <c r="BG297" s="10"/>
      <c r="BH297" s="10"/>
      <c r="BI297" s="10"/>
      <c r="BJ297" s="10"/>
      <c r="BK297" s="10"/>
      <c r="BL297" s="10"/>
    </row>
    <row r="298" spans="5:64" s="8" customFormat="1" x14ac:dyDescent="0.2">
      <c r="E298" s="85"/>
      <c r="AR298" s="10"/>
      <c r="AS298" s="10"/>
      <c r="AT298" s="10"/>
      <c r="AU298" s="10"/>
      <c r="AV298" s="10"/>
      <c r="AW298" s="10"/>
      <c r="AX298" s="10"/>
      <c r="AY298" s="10"/>
      <c r="AZ298" s="10"/>
      <c r="BA298" s="10"/>
      <c r="BB298" s="10"/>
      <c r="BC298" s="10"/>
      <c r="BD298" s="10"/>
      <c r="BE298" s="10"/>
      <c r="BF298" s="10"/>
      <c r="BG298" s="10"/>
      <c r="BH298" s="10"/>
      <c r="BI298" s="10"/>
      <c r="BJ298" s="10"/>
      <c r="BK298" s="10"/>
      <c r="BL298" s="10"/>
    </row>
    <row r="299" spans="5:64" s="8" customFormat="1" x14ac:dyDescent="0.2">
      <c r="E299" s="85"/>
      <c r="AR299" s="10"/>
      <c r="AS299" s="10"/>
      <c r="AT299" s="10"/>
      <c r="AU299" s="10"/>
      <c r="AV299" s="10"/>
      <c r="AW299" s="10"/>
      <c r="AX299" s="10"/>
      <c r="AY299" s="10"/>
      <c r="AZ299" s="10"/>
      <c r="BA299" s="10"/>
      <c r="BB299" s="10"/>
      <c r="BC299" s="10"/>
      <c r="BD299" s="10"/>
      <c r="BE299" s="10"/>
      <c r="BF299" s="10"/>
      <c r="BG299" s="10"/>
      <c r="BH299" s="10"/>
      <c r="BI299" s="10"/>
      <c r="BJ299" s="10"/>
      <c r="BK299" s="10"/>
      <c r="BL299" s="10"/>
    </row>
    <row r="300" spans="5:64" s="8" customFormat="1" x14ac:dyDescent="0.2">
      <c r="E300" s="85"/>
      <c r="AR300" s="10"/>
      <c r="AS300" s="10"/>
      <c r="AT300" s="10"/>
      <c r="AU300" s="10"/>
      <c r="AV300" s="10"/>
      <c r="AW300" s="10"/>
      <c r="AX300" s="10"/>
      <c r="AY300" s="10"/>
      <c r="AZ300" s="10"/>
      <c r="BA300" s="10"/>
      <c r="BB300" s="10"/>
      <c r="BC300" s="10"/>
      <c r="BD300" s="10"/>
      <c r="BE300" s="10"/>
      <c r="BF300" s="10"/>
      <c r="BG300" s="10"/>
      <c r="BH300" s="10"/>
      <c r="BI300" s="10"/>
      <c r="BJ300" s="10"/>
      <c r="BK300" s="10"/>
      <c r="BL300" s="10"/>
    </row>
    <row r="301" spans="5:64" s="8" customFormat="1" x14ac:dyDescent="0.2">
      <c r="E301" s="85"/>
      <c r="AR301" s="10"/>
      <c r="AS301" s="10"/>
      <c r="AT301" s="10"/>
      <c r="AU301" s="10"/>
      <c r="AV301" s="10"/>
      <c r="AW301" s="10"/>
      <c r="AX301" s="10"/>
      <c r="AY301" s="10"/>
      <c r="AZ301" s="10"/>
      <c r="BA301" s="10"/>
      <c r="BB301" s="10"/>
      <c r="BC301" s="10"/>
      <c r="BD301" s="10"/>
      <c r="BE301" s="10"/>
      <c r="BF301" s="10"/>
      <c r="BG301" s="10"/>
      <c r="BH301" s="10"/>
      <c r="BI301" s="10"/>
      <c r="BJ301" s="10"/>
      <c r="BK301" s="10"/>
      <c r="BL301" s="10"/>
    </row>
    <row r="302" spans="5:64" s="8" customFormat="1" x14ac:dyDescent="0.2">
      <c r="E302" s="85"/>
      <c r="AR302" s="10"/>
      <c r="AS302" s="10"/>
      <c r="AT302" s="10"/>
      <c r="AU302" s="10"/>
      <c r="AV302" s="10"/>
      <c r="AW302" s="10"/>
      <c r="AX302" s="10"/>
      <c r="AY302" s="10"/>
      <c r="AZ302" s="10"/>
      <c r="BA302" s="10"/>
      <c r="BB302" s="10"/>
      <c r="BC302" s="10"/>
      <c r="BD302" s="10"/>
      <c r="BE302" s="10"/>
      <c r="BF302" s="10"/>
      <c r="BG302" s="10"/>
      <c r="BH302" s="10"/>
      <c r="BI302" s="10"/>
      <c r="BJ302" s="10"/>
      <c r="BK302" s="10"/>
      <c r="BL302" s="10"/>
    </row>
    <row r="303" spans="5:64" s="8" customFormat="1" x14ac:dyDescent="0.2">
      <c r="E303" s="85"/>
      <c r="AR303" s="10"/>
      <c r="AS303" s="10"/>
      <c r="AT303" s="10"/>
      <c r="AU303" s="10"/>
      <c r="AV303" s="10"/>
      <c r="AW303" s="10"/>
      <c r="AX303" s="10"/>
      <c r="AY303" s="10"/>
      <c r="AZ303" s="10"/>
      <c r="BA303" s="10"/>
      <c r="BB303" s="10"/>
      <c r="BC303" s="10"/>
      <c r="BD303" s="10"/>
      <c r="BE303" s="10"/>
      <c r="BF303" s="10"/>
      <c r="BG303" s="10"/>
      <c r="BH303" s="10"/>
      <c r="BI303" s="10"/>
      <c r="BJ303" s="10"/>
      <c r="BK303" s="10"/>
      <c r="BL303" s="10"/>
    </row>
    <row r="304" spans="5:64" s="8" customFormat="1" x14ac:dyDescent="0.2">
      <c r="E304" s="85"/>
      <c r="AR304" s="10"/>
      <c r="AS304" s="10"/>
      <c r="AT304" s="10"/>
      <c r="AU304" s="10"/>
      <c r="AV304" s="10"/>
      <c r="AW304" s="10"/>
      <c r="AX304" s="10"/>
      <c r="AY304" s="10"/>
      <c r="AZ304" s="10"/>
      <c r="BA304" s="10"/>
      <c r="BB304" s="10"/>
      <c r="BC304" s="10"/>
      <c r="BD304" s="10"/>
      <c r="BE304" s="10"/>
      <c r="BF304" s="10"/>
      <c r="BG304" s="10"/>
      <c r="BH304" s="10"/>
      <c r="BI304" s="10"/>
      <c r="BJ304" s="10"/>
      <c r="BK304" s="10"/>
      <c r="BL304" s="10"/>
    </row>
    <row r="305" spans="5:64" s="8" customFormat="1" x14ac:dyDescent="0.2">
      <c r="E305" s="85"/>
      <c r="AR305" s="10"/>
      <c r="AS305" s="10"/>
      <c r="AT305" s="10"/>
      <c r="AU305" s="10"/>
      <c r="AV305" s="10"/>
      <c r="AW305" s="10"/>
      <c r="AX305" s="10"/>
      <c r="AY305" s="10"/>
      <c r="AZ305" s="10"/>
      <c r="BA305" s="10"/>
      <c r="BB305" s="10"/>
      <c r="BC305" s="10"/>
      <c r="BD305" s="10"/>
      <c r="BE305" s="10"/>
      <c r="BF305" s="10"/>
      <c r="BG305" s="10"/>
      <c r="BH305" s="10"/>
      <c r="BI305" s="10"/>
      <c r="BJ305" s="10"/>
      <c r="BK305" s="10"/>
      <c r="BL305" s="10"/>
    </row>
    <row r="306" spans="5:64" s="8" customFormat="1" x14ac:dyDescent="0.2">
      <c r="E306" s="85"/>
      <c r="AR306" s="10"/>
      <c r="AS306" s="10"/>
      <c r="AT306" s="10"/>
      <c r="AU306" s="10"/>
      <c r="AV306" s="10"/>
      <c r="AW306" s="10"/>
      <c r="AX306" s="10"/>
      <c r="AY306" s="10"/>
      <c r="AZ306" s="10"/>
      <c r="BA306" s="10"/>
      <c r="BB306" s="10"/>
      <c r="BC306" s="10"/>
      <c r="BD306" s="10"/>
      <c r="BE306" s="10"/>
      <c r="BF306" s="10"/>
      <c r="BG306" s="10"/>
      <c r="BH306" s="10"/>
      <c r="BI306" s="10"/>
      <c r="BJ306" s="10"/>
      <c r="BK306" s="10"/>
      <c r="BL306" s="10"/>
    </row>
    <row r="307" spans="5:64" s="8" customFormat="1" x14ac:dyDescent="0.2">
      <c r="E307" s="85"/>
      <c r="AR307" s="10"/>
      <c r="AS307" s="10"/>
      <c r="AT307" s="10"/>
      <c r="AU307" s="10"/>
      <c r="AV307" s="10"/>
      <c r="AW307" s="10"/>
      <c r="AX307" s="10"/>
      <c r="AY307" s="10"/>
      <c r="AZ307" s="10"/>
      <c r="BA307" s="10"/>
      <c r="BB307" s="10"/>
      <c r="BC307" s="10"/>
      <c r="BD307" s="10"/>
      <c r="BE307" s="10"/>
      <c r="BF307" s="10"/>
      <c r="BG307" s="10"/>
      <c r="BH307" s="10"/>
      <c r="BI307" s="10"/>
      <c r="BJ307" s="10"/>
      <c r="BK307" s="10"/>
      <c r="BL307" s="10"/>
    </row>
    <row r="308" spans="5:64" s="8" customFormat="1" x14ac:dyDescent="0.2">
      <c r="E308" s="85"/>
      <c r="AR308" s="10"/>
      <c r="AS308" s="10"/>
      <c r="AT308" s="10"/>
      <c r="AU308" s="10"/>
      <c r="AV308" s="10"/>
      <c r="AW308" s="10"/>
      <c r="AX308" s="10"/>
      <c r="AY308" s="10"/>
      <c r="AZ308" s="10"/>
      <c r="BA308" s="10"/>
      <c r="BB308" s="10"/>
      <c r="BC308" s="10"/>
      <c r="BD308" s="10"/>
      <c r="BE308" s="10"/>
      <c r="BF308" s="10"/>
      <c r="BG308" s="10"/>
      <c r="BH308" s="10"/>
      <c r="BI308" s="10"/>
      <c r="BJ308" s="10"/>
      <c r="BK308" s="10"/>
      <c r="BL308" s="10"/>
    </row>
    <row r="309" spans="5:64" s="8" customFormat="1" x14ac:dyDescent="0.2">
      <c r="E309" s="85"/>
      <c r="AR309" s="10"/>
      <c r="AS309" s="10"/>
      <c r="AT309" s="10"/>
      <c r="AU309" s="10"/>
      <c r="AV309" s="10"/>
      <c r="AW309" s="10"/>
      <c r="AX309" s="10"/>
      <c r="AY309" s="10"/>
      <c r="AZ309" s="10"/>
      <c r="BA309" s="10"/>
      <c r="BB309" s="10"/>
      <c r="BC309" s="10"/>
      <c r="BD309" s="10"/>
      <c r="BE309" s="10"/>
      <c r="BF309" s="10"/>
      <c r="BG309" s="10"/>
      <c r="BH309" s="10"/>
      <c r="BI309" s="10"/>
      <c r="BJ309" s="10"/>
      <c r="BK309" s="10"/>
      <c r="BL309" s="10"/>
    </row>
    <row r="310" spans="5:64" s="8" customFormat="1" x14ac:dyDescent="0.2">
      <c r="E310" s="85"/>
      <c r="AR310" s="10"/>
      <c r="AS310" s="10"/>
      <c r="AT310" s="10"/>
      <c r="AU310" s="10"/>
      <c r="AV310" s="10"/>
      <c r="AW310" s="10"/>
      <c r="AX310" s="10"/>
      <c r="AY310" s="10"/>
      <c r="AZ310" s="10"/>
      <c r="BA310" s="10"/>
      <c r="BB310" s="10"/>
      <c r="BC310" s="10"/>
      <c r="BD310" s="10"/>
      <c r="BE310" s="10"/>
      <c r="BF310" s="10"/>
      <c r="BG310" s="10"/>
      <c r="BH310" s="10"/>
      <c r="BI310" s="10"/>
      <c r="BJ310" s="10"/>
      <c r="BK310" s="10"/>
      <c r="BL310" s="10"/>
    </row>
    <row r="311" spans="5:64" s="8" customFormat="1" x14ac:dyDescent="0.2">
      <c r="E311" s="85"/>
      <c r="AR311" s="10"/>
      <c r="AS311" s="10"/>
      <c r="AT311" s="10"/>
      <c r="AU311" s="10"/>
      <c r="AV311" s="10"/>
      <c r="AW311" s="10"/>
      <c r="AX311" s="10"/>
      <c r="AY311" s="10"/>
      <c r="AZ311" s="10"/>
      <c r="BA311" s="10"/>
      <c r="BB311" s="10"/>
      <c r="BC311" s="10"/>
      <c r="BD311" s="10"/>
      <c r="BE311" s="10"/>
      <c r="BF311" s="10"/>
      <c r="BG311" s="10"/>
      <c r="BH311" s="10"/>
      <c r="BI311" s="10"/>
      <c r="BJ311" s="10"/>
      <c r="BK311" s="10"/>
      <c r="BL311" s="10"/>
    </row>
    <row r="312" spans="5:64" s="8" customFormat="1" x14ac:dyDescent="0.2">
      <c r="E312" s="85"/>
      <c r="AR312" s="10"/>
      <c r="AS312" s="10"/>
      <c r="AT312" s="10"/>
      <c r="AU312" s="10"/>
      <c r="AV312" s="10"/>
      <c r="AW312" s="10"/>
      <c r="AX312" s="10"/>
      <c r="AY312" s="10"/>
      <c r="AZ312" s="10"/>
      <c r="BA312" s="10"/>
      <c r="BB312" s="10"/>
      <c r="BC312" s="10"/>
      <c r="BD312" s="10"/>
      <c r="BE312" s="10"/>
      <c r="BF312" s="10"/>
      <c r="BG312" s="10"/>
      <c r="BH312" s="10"/>
      <c r="BI312" s="10"/>
      <c r="BJ312" s="10"/>
      <c r="BK312" s="10"/>
      <c r="BL312" s="10"/>
    </row>
    <row r="313" spans="5:64" s="8" customFormat="1" x14ac:dyDescent="0.2">
      <c r="E313" s="85"/>
      <c r="AR313" s="10"/>
      <c r="AS313" s="10"/>
      <c r="AT313" s="10"/>
      <c r="AU313" s="10"/>
      <c r="AV313" s="10"/>
      <c r="AW313" s="10"/>
      <c r="AX313" s="10"/>
      <c r="AY313" s="10"/>
      <c r="AZ313" s="10"/>
      <c r="BA313" s="10"/>
      <c r="BB313" s="10"/>
      <c r="BC313" s="10"/>
      <c r="BD313" s="10"/>
      <c r="BE313" s="10"/>
      <c r="BF313" s="10"/>
      <c r="BG313" s="10"/>
      <c r="BH313" s="10"/>
      <c r="BI313" s="10"/>
      <c r="BJ313" s="10"/>
      <c r="BK313" s="10"/>
      <c r="BL313" s="10"/>
    </row>
    <row r="314" spans="5:64" s="8" customFormat="1" x14ac:dyDescent="0.2">
      <c r="E314" s="85"/>
      <c r="AR314" s="10"/>
      <c r="AS314" s="10"/>
      <c r="AT314" s="10"/>
      <c r="AU314" s="10"/>
      <c r="AV314" s="10"/>
      <c r="AW314" s="10"/>
      <c r="AX314" s="10"/>
      <c r="AY314" s="10"/>
      <c r="AZ314" s="10"/>
      <c r="BA314" s="10"/>
      <c r="BB314" s="10"/>
      <c r="BC314" s="10"/>
      <c r="BD314" s="10"/>
      <c r="BE314" s="10"/>
      <c r="BF314" s="10"/>
      <c r="BG314" s="10"/>
      <c r="BH314" s="10"/>
      <c r="BI314" s="10"/>
      <c r="BJ314" s="10"/>
      <c r="BK314" s="10"/>
      <c r="BL314" s="10"/>
    </row>
    <row r="315" spans="5:64" s="8" customFormat="1" x14ac:dyDescent="0.2">
      <c r="E315" s="85"/>
      <c r="AR315" s="10"/>
      <c r="AS315" s="10"/>
      <c r="AT315" s="10"/>
      <c r="AU315" s="10"/>
      <c r="AV315" s="10"/>
      <c r="AW315" s="10"/>
      <c r="AX315" s="10"/>
      <c r="AY315" s="10"/>
      <c r="AZ315" s="10"/>
      <c r="BA315" s="10"/>
      <c r="BB315" s="10"/>
      <c r="BC315" s="10"/>
      <c r="BD315" s="10"/>
      <c r="BE315" s="10"/>
      <c r="BF315" s="10"/>
      <c r="BG315" s="10"/>
      <c r="BH315" s="10"/>
      <c r="BI315" s="10"/>
      <c r="BJ315" s="10"/>
      <c r="BK315" s="10"/>
      <c r="BL315" s="10"/>
    </row>
    <row r="316" spans="5:64" s="8" customFormat="1" x14ac:dyDescent="0.2">
      <c r="E316" s="85"/>
      <c r="AR316" s="10"/>
      <c r="AS316" s="10"/>
      <c r="AT316" s="10"/>
      <c r="AU316" s="10"/>
      <c r="AV316" s="10"/>
      <c r="AW316" s="10"/>
      <c r="AX316" s="10"/>
      <c r="AY316" s="10"/>
      <c r="AZ316" s="10"/>
      <c r="BA316" s="10"/>
      <c r="BB316" s="10"/>
      <c r="BC316" s="10"/>
      <c r="BD316" s="10"/>
      <c r="BE316" s="10"/>
      <c r="BF316" s="10"/>
      <c r="BG316" s="10"/>
      <c r="BH316" s="10"/>
      <c r="BI316" s="10"/>
      <c r="BJ316" s="10"/>
      <c r="BK316" s="10"/>
      <c r="BL316" s="10"/>
    </row>
    <row r="317" spans="5:64" s="8" customFormat="1" x14ac:dyDescent="0.2">
      <c r="E317" s="85"/>
      <c r="AR317" s="10"/>
      <c r="AS317" s="10"/>
      <c r="AT317" s="10"/>
      <c r="AU317" s="10"/>
      <c r="AV317" s="10"/>
      <c r="AW317" s="10"/>
      <c r="AX317" s="10"/>
      <c r="AY317" s="10"/>
      <c r="AZ317" s="10"/>
      <c r="BA317" s="10"/>
      <c r="BB317" s="10"/>
      <c r="BC317" s="10"/>
      <c r="BD317" s="10"/>
      <c r="BE317" s="10"/>
      <c r="BF317" s="10"/>
      <c r="BG317" s="10"/>
      <c r="BH317" s="10"/>
      <c r="BI317" s="10"/>
      <c r="BJ317" s="10"/>
      <c r="BK317" s="10"/>
      <c r="BL317" s="10"/>
    </row>
    <row r="318" spans="5:64" s="8" customFormat="1" x14ac:dyDescent="0.2">
      <c r="E318" s="85"/>
      <c r="AR318" s="10"/>
      <c r="AS318" s="10"/>
      <c r="AT318" s="10"/>
      <c r="AU318" s="10"/>
      <c r="AV318" s="10"/>
      <c r="AW318" s="10"/>
      <c r="AX318" s="10"/>
      <c r="AY318" s="10"/>
      <c r="AZ318" s="10"/>
      <c r="BA318" s="10"/>
      <c r="BB318" s="10"/>
      <c r="BC318" s="10"/>
      <c r="BD318" s="10"/>
      <c r="BE318" s="10"/>
      <c r="BF318" s="10"/>
      <c r="BG318" s="10"/>
      <c r="BH318" s="10"/>
      <c r="BI318" s="10"/>
      <c r="BJ318" s="10"/>
      <c r="BK318" s="10"/>
      <c r="BL318" s="10"/>
    </row>
    <row r="319" spans="5:64" s="8" customFormat="1" x14ac:dyDescent="0.2">
      <c r="E319" s="85"/>
      <c r="AR319" s="10"/>
      <c r="AS319" s="10"/>
      <c r="AT319" s="10"/>
      <c r="AU319" s="10"/>
      <c r="AV319" s="10"/>
      <c r="AW319" s="10"/>
      <c r="AX319" s="10"/>
      <c r="AY319" s="10"/>
      <c r="AZ319" s="10"/>
      <c r="BA319" s="10"/>
      <c r="BB319" s="10"/>
      <c r="BC319" s="10"/>
      <c r="BD319" s="10"/>
      <c r="BE319" s="10"/>
      <c r="BF319" s="10"/>
      <c r="BG319" s="10"/>
      <c r="BH319" s="10"/>
      <c r="BI319" s="10"/>
      <c r="BJ319" s="10"/>
      <c r="BK319" s="10"/>
      <c r="BL319" s="10"/>
    </row>
    <row r="320" spans="5:64" s="8" customFormat="1" x14ac:dyDescent="0.2">
      <c r="E320" s="85"/>
      <c r="AR320" s="10"/>
      <c r="AS320" s="10"/>
      <c r="AT320" s="10"/>
      <c r="AU320" s="10"/>
      <c r="AV320" s="10"/>
      <c r="AW320" s="10"/>
      <c r="AX320" s="10"/>
      <c r="AY320" s="10"/>
      <c r="AZ320" s="10"/>
      <c r="BA320" s="10"/>
      <c r="BB320" s="10"/>
      <c r="BC320" s="10"/>
      <c r="BD320" s="10"/>
      <c r="BE320" s="10"/>
      <c r="BF320" s="10"/>
      <c r="BG320" s="10"/>
      <c r="BH320" s="10"/>
      <c r="BI320" s="10"/>
      <c r="BJ320" s="10"/>
      <c r="BK320" s="10"/>
      <c r="BL320" s="10"/>
    </row>
    <row r="321" spans="5:64" s="8" customFormat="1" x14ac:dyDescent="0.2">
      <c r="E321" s="85"/>
      <c r="AR321" s="10"/>
      <c r="AS321" s="10"/>
      <c r="AT321" s="10"/>
      <c r="AU321" s="10"/>
      <c r="AV321" s="10"/>
      <c r="AW321" s="10"/>
      <c r="AX321" s="10"/>
      <c r="AY321" s="10"/>
      <c r="AZ321" s="10"/>
      <c r="BA321" s="10"/>
      <c r="BB321" s="10"/>
      <c r="BC321" s="10"/>
      <c r="BD321" s="10"/>
      <c r="BE321" s="10"/>
      <c r="BF321" s="10"/>
      <c r="BG321" s="10"/>
      <c r="BH321" s="10"/>
      <c r="BI321" s="10"/>
      <c r="BJ321" s="10"/>
      <c r="BK321" s="10"/>
      <c r="BL321" s="10"/>
    </row>
    <row r="322" spans="5:64" s="8" customFormat="1" x14ac:dyDescent="0.2">
      <c r="E322" s="85"/>
      <c r="AR322" s="10"/>
      <c r="AS322" s="10"/>
      <c r="AT322" s="10"/>
      <c r="AU322" s="10"/>
      <c r="AV322" s="10"/>
      <c r="AW322" s="10"/>
      <c r="AX322" s="10"/>
      <c r="AY322" s="10"/>
      <c r="AZ322" s="10"/>
      <c r="BA322" s="10"/>
      <c r="BB322" s="10"/>
      <c r="BC322" s="10"/>
      <c r="BD322" s="10"/>
      <c r="BE322" s="10"/>
      <c r="BF322" s="10"/>
      <c r="BG322" s="10"/>
      <c r="BH322" s="10"/>
      <c r="BI322" s="10"/>
      <c r="BJ322" s="10"/>
      <c r="BK322" s="10"/>
      <c r="BL322" s="10"/>
    </row>
    <row r="323" spans="5:64" s="8" customFormat="1" x14ac:dyDescent="0.2">
      <c r="E323" s="85"/>
      <c r="AR323" s="10"/>
      <c r="AS323" s="10"/>
      <c r="AT323" s="10"/>
      <c r="AU323" s="10"/>
      <c r="AV323" s="10"/>
      <c r="AW323" s="10"/>
      <c r="AX323" s="10"/>
      <c r="AY323" s="10"/>
      <c r="AZ323" s="10"/>
      <c r="BA323" s="10"/>
      <c r="BB323" s="10"/>
      <c r="BC323" s="10"/>
      <c r="BD323" s="10"/>
      <c r="BE323" s="10"/>
      <c r="BF323" s="10"/>
      <c r="BG323" s="10"/>
      <c r="BH323" s="10"/>
      <c r="BI323" s="10"/>
      <c r="BJ323" s="10"/>
      <c r="BK323" s="10"/>
      <c r="BL323" s="10"/>
    </row>
    <row r="324" spans="5:64" s="8" customFormat="1" x14ac:dyDescent="0.2">
      <c r="E324" s="85"/>
      <c r="AR324" s="10"/>
      <c r="AS324" s="10"/>
      <c r="AT324" s="10"/>
      <c r="AU324" s="10"/>
      <c r="AV324" s="10"/>
      <c r="AW324" s="10"/>
      <c r="AX324" s="10"/>
      <c r="AY324" s="10"/>
      <c r="AZ324" s="10"/>
      <c r="BA324" s="10"/>
      <c r="BB324" s="10"/>
      <c r="BC324" s="10"/>
      <c r="BD324" s="10"/>
      <c r="BE324" s="10"/>
      <c r="BF324" s="10"/>
      <c r="BG324" s="10"/>
      <c r="BH324" s="10"/>
      <c r="BI324" s="10"/>
      <c r="BJ324" s="10"/>
      <c r="BK324" s="10"/>
      <c r="BL324" s="10"/>
    </row>
    <row r="325" spans="5:64" s="8" customFormat="1" x14ac:dyDescent="0.2">
      <c r="E325" s="85"/>
      <c r="AR325" s="10"/>
      <c r="AS325" s="10"/>
      <c r="AT325" s="10"/>
      <c r="AU325" s="10"/>
      <c r="AV325" s="10"/>
      <c r="AW325" s="10"/>
      <c r="AX325" s="10"/>
      <c r="AY325" s="10"/>
      <c r="AZ325" s="10"/>
      <c r="BA325" s="10"/>
      <c r="BB325" s="10"/>
      <c r="BC325" s="10"/>
      <c r="BD325" s="10"/>
      <c r="BE325" s="10"/>
      <c r="BF325" s="10"/>
      <c r="BG325" s="10"/>
      <c r="BH325" s="10"/>
      <c r="BI325" s="10"/>
      <c r="BJ325" s="10"/>
      <c r="BK325" s="10"/>
      <c r="BL325" s="10"/>
    </row>
    <row r="326" spans="5:64" s="8" customFormat="1" x14ac:dyDescent="0.2">
      <c r="E326" s="85"/>
      <c r="AR326" s="10"/>
      <c r="AS326" s="10"/>
      <c r="AT326" s="10"/>
      <c r="AU326" s="10"/>
      <c r="AV326" s="10"/>
      <c r="AW326" s="10"/>
      <c r="AX326" s="10"/>
      <c r="AY326" s="10"/>
      <c r="AZ326" s="10"/>
      <c r="BA326" s="10"/>
      <c r="BB326" s="10"/>
      <c r="BC326" s="10"/>
      <c r="BD326" s="10"/>
      <c r="BE326" s="10"/>
      <c r="BF326" s="10"/>
      <c r="BG326" s="10"/>
      <c r="BH326" s="10"/>
      <c r="BI326" s="10"/>
      <c r="BJ326" s="10"/>
      <c r="BK326" s="10"/>
      <c r="BL326" s="10"/>
    </row>
    <row r="327" spans="5:64" s="8" customFormat="1" x14ac:dyDescent="0.2">
      <c r="E327" s="85"/>
      <c r="AR327" s="10"/>
      <c r="AS327" s="10"/>
      <c r="AT327" s="10"/>
      <c r="AU327" s="10"/>
      <c r="AV327" s="10"/>
      <c r="AW327" s="10"/>
      <c r="AX327" s="10"/>
      <c r="AY327" s="10"/>
      <c r="AZ327" s="10"/>
      <c r="BA327" s="10"/>
      <c r="BB327" s="10"/>
      <c r="BC327" s="10"/>
      <c r="BD327" s="10"/>
      <c r="BE327" s="10"/>
      <c r="BF327" s="10"/>
      <c r="BG327" s="10"/>
      <c r="BH327" s="10"/>
      <c r="BI327" s="10"/>
      <c r="BJ327" s="10"/>
      <c r="BK327" s="10"/>
      <c r="BL327" s="10"/>
    </row>
    <row r="328" spans="5:64" s="8" customFormat="1" x14ac:dyDescent="0.2">
      <c r="E328" s="85"/>
      <c r="AR328" s="10"/>
      <c r="AS328" s="10"/>
      <c r="AT328" s="10"/>
      <c r="AU328" s="10"/>
      <c r="AV328" s="10"/>
      <c r="AW328" s="10"/>
      <c r="AX328" s="10"/>
      <c r="AY328" s="10"/>
      <c r="AZ328" s="10"/>
      <c r="BA328" s="10"/>
      <c r="BB328" s="10"/>
      <c r="BC328" s="10"/>
      <c r="BD328" s="10"/>
      <c r="BE328" s="10"/>
      <c r="BF328" s="10"/>
      <c r="BG328" s="10"/>
      <c r="BH328" s="10"/>
      <c r="BI328" s="10"/>
      <c r="BJ328" s="10"/>
      <c r="BK328" s="10"/>
      <c r="BL328" s="10"/>
    </row>
    <row r="329" spans="5:64" s="8" customFormat="1" x14ac:dyDescent="0.2">
      <c r="E329" s="85"/>
      <c r="AR329" s="10"/>
      <c r="AS329" s="10"/>
      <c r="AT329" s="10"/>
      <c r="AU329" s="10"/>
      <c r="AV329" s="10"/>
      <c r="AW329" s="10"/>
      <c r="AX329" s="10"/>
      <c r="AY329" s="10"/>
      <c r="AZ329" s="10"/>
      <c r="BA329" s="10"/>
      <c r="BB329" s="10"/>
      <c r="BC329" s="10"/>
      <c r="BD329" s="10"/>
      <c r="BE329" s="10"/>
      <c r="BF329" s="10"/>
      <c r="BG329" s="10"/>
      <c r="BH329" s="10"/>
      <c r="BI329" s="10"/>
      <c r="BJ329" s="10"/>
      <c r="BK329" s="10"/>
      <c r="BL329" s="10"/>
    </row>
    <row r="330" spans="5:64" s="8" customFormat="1" x14ac:dyDescent="0.2">
      <c r="E330" s="85"/>
      <c r="AR330" s="10"/>
      <c r="AS330" s="10"/>
      <c r="AT330" s="10"/>
      <c r="AU330" s="10"/>
      <c r="AV330" s="10"/>
      <c r="AW330" s="10"/>
      <c r="AX330" s="10"/>
      <c r="AY330" s="10"/>
      <c r="AZ330" s="10"/>
      <c r="BA330" s="10"/>
      <c r="BB330" s="10"/>
      <c r="BC330" s="10"/>
      <c r="BD330" s="10"/>
      <c r="BE330" s="10"/>
      <c r="BF330" s="10"/>
      <c r="BG330" s="10"/>
      <c r="BH330" s="10"/>
      <c r="BI330" s="10"/>
      <c r="BJ330" s="10"/>
      <c r="BK330" s="10"/>
      <c r="BL330" s="10"/>
    </row>
    <row r="331" spans="5:64" s="8" customFormat="1" x14ac:dyDescent="0.2">
      <c r="E331" s="85"/>
      <c r="AR331" s="10"/>
      <c r="AS331" s="10"/>
      <c r="AT331" s="10"/>
      <c r="AU331" s="10"/>
      <c r="AV331" s="10"/>
      <c r="AW331" s="10"/>
      <c r="AX331" s="10"/>
      <c r="AY331" s="10"/>
      <c r="AZ331" s="10"/>
      <c r="BA331" s="10"/>
      <c r="BB331" s="10"/>
      <c r="BC331" s="10"/>
      <c r="BD331" s="10"/>
      <c r="BE331" s="10"/>
      <c r="BF331" s="10"/>
      <c r="BG331" s="10"/>
      <c r="BH331" s="10"/>
      <c r="BI331" s="10"/>
      <c r="BJ331" s="10"/>
      <c r="BK331" s="10"/>
      <c r="BL331" s="10"/>
    </row>
    <row r="332" spans="5:64" s="8" customFormat="1" x14ac:dyDescent="0.2">
      <c r="E332" s="85"/>
      <c r="AR332" s="10"/>
      <c r="AS332" s="10"/>
      <c r="AT332" s="10"/>
      <c r="AU332" s="10"/>
      <c r="AV332" s="10"/>
      <c r="AW332" s="10"/>
      <c r="AX332" s="10"/>
      <c r="AY332" s="10"/>
      <c r="AZ332" s="10"/>
      <c r="BA332" s="10"/>
      <c r="BB332" s="10"/>
      <c r="BC332" s="10"/>
      <c r="BD332" s="10"/>
      <c r="BE332" s="10"/>
      <c r="BF332" s="10"/>
      <c r="BG332" s="10"/>
      <c r="BH332" s="10"/>
      <c r="BI332" s="10"/>
      <c r="BJ332" s="10"/>
      <c r="BK332" s="10"/>
      <c r="BL332" s="10"/>
    </row>
    <row r="333" spans="5:64" s="8" customFormat="1" x14ac:dyDescent="0.2">
      <c r="E333" s="85"/>
      <c r="AR333" s="10"/>
      <c r="AS333" s="10"/>
      <c r="AT333" s="10"/>
      <c r="AU333" s="10"/>
      <c r="AV333" s="10"/>
      <c r="AW333" s="10"/>
      <c r="AX333" s="10"/>
      <c r="AY333" s="10"/>
      <c r="AZ333" s="10"/>
      <c r="BA333" s="10"/>
      <c r="BB333" s="10"/>
      <c r="BC333" s="10"/>
      <c r="BD333" s="10"/>
      <c r="BE333" s="10"/>
      <c r="BF333" s="10"/>
      <c r="BG333" s="10"/>
      <c r="BH333" s="10"/>
      <c r="BI333" s="10"/>
      <c r="BJ333" s="10"/>
      <c r="BK333" s="10"/>
      <c r="BL333" s="10"/>
    </row>
    <row r="334" spans="5:64" s="8" customFormat="1" x14ac:dyDescent="0.2">
      <c r="E334" s="85"/>
      <c r="AR334" s="10"/>
      <c r="AS334" s="10"/>
      <c r="AT334" s="10"/>
      <c r="AU334" s="10"/>
      <c r="AV334" s="10"/>
      <c r="AW334" s="10"/>
      <c r="AX334" s="10"/>
      <c r="AY334" s="10"/>
      <c r="AZ334" s="10"/>
      <c r="BA334" s="10"/>
      <c r="BB334" s="10"/>
      <c r="BC334" s="10"/>
      <c r="BD334" s="10"/>
      <c r="BE334" s="10"/>
      <c r="BF334" s="10"/>
      <c r="BG334" s="10"/>
      <c r="BH334" s="10"/>
      <c r="BI334" s="10"/>
      <c r="BJ334" s="10"/>
      <c r="BK334" s="10"/>
      <c r="BL334" s="10"/>
    </row>
    <row r="335" spans="5:64" s="8" customFormat="1" x14ac:dyDescent="0.2">
      <c r="E335" s="85"/>
      <c r="AR335" s="10"/>
      <c r="AS335" s="10"/>
      <c r="AT335" s="10"/>
      <c r="AU335" s="10"/>
      <c r="AV335" s="10"/>
      <c r="AW335" s="10"/>
      <c r="AX335" s="10"/>
      <c r="AY335" s="10"/>
      <c r="AZ335" s="10"/>
      <c r="BA335" s="10"/>
      <c r="BB335" s="10"/>
      <c r="BC335" s="10"/>
      <c r="BD335" s="10"/>
      <c r="BE335" s="10"/>
      <c r="BF335" s="10"/>
      <c r="BG335" s="10"/>
      <c r="BH335" s="10"/>
      <c r="BI335" s="10"/>
      <c r="BJ335" s="10"/>
      <c r="BK335" s="10"/>
      <c r="BL335" s="10"/>
    </row>
    <row r="336" spans="5:64" s="8" customFormat="1" x14ac:dyDescent="0.2">
      <c r="E336" s="85"/>
      <c r="AR336" s="10"/>
      <c r="AS336" s="10"/>
      <c r="AT336" s="10"/>
      <c r="AU336" s="10"/>
      <c r="AV336" s="10"/>
      <c r="AW336" s="10"/>
      <c r="AX336" s="10"/>
      <c r="AY336" s="10"/>
      <c r="AZ336" s="10"/>
      <c r="BA336" s="10"/>
      <c r="BB336" s="10"/>
      <c r="BC336" s="10"/>
      <c r="BD336" s="10"/>
      <c r="BE336" s="10"/>
      <c r="BF336" s="10"/>
      <c r="BG336" s="10"/>
      <c r="BH336" s="10"/>
      <c r="BI336" s="10"/>
      <c r="BJ336" s="10"/>
      <c r="BK336" s="10"/>
      <c r="BL336" s="10"/>
    </row>
    <row r="337" spans="5:64" s="8" customFormat="1" x14ac:dyDescent="0.2">
      <c r="E337" s="85"/>
      <c r="AR337" s="10"/>
      <c r="AS337" s="10"/>
      <c r="AT337" s="10"/>
      <c r="AU337" s="10"/>
      <c r="AV337" s="10"/>
      <c r="AW337" s="10"/>
      <c r="AX337" s="10"/>
      <c r="AY337" s="10"/>
      <c r="AZ337" s="10"/>
      <c r="BA337" s="10"/>
      <c r="BB337" s="10"/>
      <c r="BC337" s="10"/>
      <c r="BD337" s="10"/>
      <c r="BE337" s="10"/>
      <c r="BF337" s="10"/>
      <c r="BG337" s="10"/>
      <c r="BH337" s="10"/>
      <c r="BI337" s="10"/>
      <c r="BJ337" s="10"/>
      <c r="BK337" s="10"/>
      <c r="BL337" s="10"/>
    </row>
    <row r="338" spans="5:64" s="8" customFormat="1" x14ac:dyDescent="0.2">
      <c r="E338" s="85"/>
      <c r="AR338" s="10"/>
      <c r="AS338" s="10"/>
      <c r="AT338" s="10"/>
      <c r="AU338" s="10"/>
      <c r="AV338" s="10"/>
      <c r="AW338" s="10"/>
      <c r="AX338" s="10"/>
      <c r="AY338" s="10"/>
      <c r="AZ338" s="10"/>
      <c r="BA338" s="10"/>
      <c r="BB338" s="10"/>
      <c r="BC338" s="10"/>
      <c r="BD338" s="10"/>
      <c r="BE338" s="10"/>
      <c r="BF338" s="10"/>
      <c r="BG338" s="10"/>
      <c r="BH338" s="10"/>
      <c r="BI338" s="10"/>
      <c r="BJ338" s="10"/>
      <c r="BK338" s="10"/>
      <c r="BL338" s="10"/>
    </row>
    <row r="339" spans="5:64" s="8" customFormat="1" x14ac:dyDescent="0.2">
      <c r="E339" s="85"/>
      <c r="AR339" s="10"/>
      <c r="AS339" s="10"/>
      <c r="AT339" s="10"/>
      <c r="AU339" s="10"/>
      <c r="AV339" s="10"/>
      <c r="AW339" s="10"/>
      <c r="AX339" s="10"/>
      <c r="AY339" s="10"/>
      <c r="AZ339" s="10"/>
      <c r="BA339" s="10"/>
      <c r="BB339" s="10"/>
      <c r="BC339" s="10"/>
      <c r="BD339" s="10"/>
      <c r="BE339" s="10"/>
      <c r="BF339" s="10"/>
      <c r="BG339" s="10"/>
      <c r="BH339" s="10"/>
      <c r="BI339" s="10"/>
      <c r="BJ339" s="10"/>
      <c r="BK339" s="10"/>
      <c r="BL339" s="10"/>
    </row>
    <row r="340" spans="5:64" s="8" customFormat="1" x14ac:dyDescent="0.2">
      <c r="E340" s="85"/>
      <c r="AR340" s="10"/>
      <c r="AS340" s="10"/>
      <c r="AT340" s="10"/>
      <c r="AU340" s="10"/>
      <c r="AV340" s="10"/>
      <c r="AW340" s="10"/>
      <c r="AX340" s="10"/>
      <c r="AY340" s="10"/>
      <c r="AZ340" s="10"/>
      <c r="BA340" s="10"/>
      <c r="BB340" s="10"/>
      <c r="BC340" s="10"/>
      <c r="BD340" s="10"/>
      <c r="BE340" s="10"/>
      <c r="BF340" s="10"/>
      <c r="BG340" s="10"/>
      <c r="BH340" s="10"/>
      <c r="BI340" s="10"/>
      <c r="BJ340" s="10"/>
      <c r="BK340" s="10"/>
      <c r="BL340" s="10"/>
    </row>
    <row r="341" spans="5:64" s="8" customFormat="1" x14ac:dyDescent="0.2">
      <c r="E341" s="85"/>
      <c r="AR341" s="10"/>
      <c r="AS341" s="10"/>
      <c r="AT341" s="10"/>
      <c r="AU341" s="10"/>
      <c r="AV341" s="10"/>
      <c r="AW341" s="10"/>
      <c r="AX341" s="10"/>
      <c r="AY341" s="10"/>
      <c r="AZ341" s="10"/>
      <c r="BA341" s="10"/>
      <c r="BB341" s="10"/>
      <c r="BC341" s="10"/>
      <c r="BD341" s="10"/>
      <c r="BE341" s="10"/>
      <c r="BF341" s="10"/>
      <c r="BG341" s="10"/>
      <c r="BH341" s="10"/>
      <c r="BI341" s="10"/>
      <c r="BJ341" s="10"/>
      <c r="BK341" s="10"/>
      <c r="BL341" s="10"/>
    </row>
    <row r="342" spans="5:64" s="8" customFormat="1" x14ac:dyDescent="0.2">
      <c r="E342" s="85"/>
      <c r="AR342" s="10"/>
      <c r="AS342" s="10"/>
      <c r="AT342" s="10"/>
      <c r="AU342" s="10"/>
      <c r="AV342" s="10"/>
      <c r="AW342" s="10"/>
      <c r="AX342" s="10"/>
      <c r="AY342" s="10"/>
      <c r="AZ342" s="10"/>
      <c r="BA342" s="10"/>
      <c r="BB342" s="10"/>
      <c r="BC342" s="10"/>
      <c r="BD342" s="10"/>
      <c r="BE342" s="10"/>
      <c r="BF342" s="10"/>
      <c r="BG342" s="10"/>
      <c r="BH342" s="10"/>
      <c r="BI342" s="10"/>
      <c r="BJ342" s="10"/>
      <c r="BK342" s="10"/>
      <c r="BL342" s="10"/>
    </row>
    <row r="343" spans="5:64" s="8" customFormat="1" x14ac:dyDescent="0.2">
      <c r="E343" s="85"/>
      <c r="AR343" s="10"/>
      <c r="AS343" s="10"/>
      <c r="AT343" s="10"/>
      <c r="AU343" s="10"/>
      <c r="AV343" s="10"/>
      <c r="AW343" s="10"/>
      <c r="AX343" s="10"/>
      <c r="AY343" s="10"/>
      <c r="AZ343" s="10"/>
      <c r="BA343" s="10"/>
      <c r="BB343" s="10"/>
      <c r="BC343" s="10"/>
      <c r="BD343" s="10"/>
      <c r="BE343" s="10"/>
      <c r="BF343" s="10"/>
      <c r="BG343" s="10"/>
      <c r="BH343" s="10"/>
      <c r="BI343" s="10"/>
      <c r="BJ343" s="10"/>
      <c r="BK343" s="10"/>
      <c r="BL343" s="10"/>
    </row>
    <row r="344" spans="5:64" s="8" customFormat="1" x14ac:dyDescent="0.2">
      <c r="E344" s="85"/>
      <c r="AR344" s="10"/>
      <c r="AS344" s="10"/>
      <c r="AT344" s="10"/>
      <c r="AU344" s="10"/>
      <c r="AV344" s="10"/>
      <c r="AW344" s="10"/>
      <c r="AX344" s="10"/>
      <c r="AY344" s="10"/>
      <c r="AZ344" s="10"/>
      <c r="BA344" s="10"/>
      <c r="BB344" s="10"/>
      <c r="BC344" s="10"/>
      <c r="BD344" s="10"/>
      <c r="BE344" s="10"/>
      <c r="BF344" s="10"/>
      <c r="BG344" s="10"/>
      <c r="BH344" s="10"/>
      <c r="BI344" s="10"/>
      <c r="BJ344" s="10"/>
      <c r="BK344" s="10"/>
      <c r="BL344" s="10"/>
    </row>
    <row r="345" spans="5:64" s="8" customFormat="1" x14ac:dyDescent="0.2">
      <c r="E345" s="85"/>
      <c r="AR345" s="10"/>
      <c r="AS345" s="10"/>
      <c r="AT345" s="10"/>
      <c r="AU345" s="10"/>
      <c r="AV345" s="10"/>
      <c r="AW345" s="10"/>
      <c r="AX345" s="10"/>
      <c r="AY345" s="10"/>
      <c r="AZ345" s="10"/>
      <c r="BA345" s="10"/>
      <c r="BB345" s="10"/>
      <c r="BC345" s="10"/>
      <c r="BD345" s="10"/>
      <c r="BE345" s="10"/>
      <c r="BF345" s="10"/>
      <c r="BG345" s="10"/>
      <c r="BH345" s="10"/>
      <c r="BI345" s="10"/>
      <c r="BJ345" s="10"/>
      <c r="BK345" s="10"/>
      <c r="BL345" s="10"/>
    </row>
    <row r="346" spans="5:64" s="8" customFormat="1" x14ac:dyDescent="0.2">
      <c r="E346" s="85"/>
      <c r="AR346" s="10"/>
      <c r="AS346" s="10"/>
      <c r="AT346" s="10"/>
      <c r="AU346" s="10"/>
      <c r="AV346" s="10"/>
      <c r="AW346" s="10"/>
      <c r="AX346" s="10"/>
      <c r="AY346" s="10"/>
      <c r="AZ346" s="10"/>
      <c r="BA346" s="10"/>
      <c r="BB346" s="10"/>
      <c r="BC346" s="10"/>
      <c r="BD346" s="10"/>
      <c r="BE346" s="10"/>
      <c r="BF346" s="10"/>
      <c r="BG346" s="10"/>
      <c r="BH346" s="10"/>
      <c r="BI346" s="10"/>
      <c r="BJ346" s="10"/>
      <c r="BK346" s="10"/>
      <c r="BL346" s="10"/>
    </row>
    <row r="347" spans="5:64" s="8" customFormat="1" x14ac:dyDescent="0.2">
      <c r="E347" s="85"/>
      <c r="AR347" s="10"/>
      <c r="AS347" s="10"/>
      <c r="AT347" s="10"/>
      <c r="AU347" s="10"/>
      <c r="AV347" s="10"/>
      <c r="AW347" s="10"/>
      <c r="AX347" s="10"/>
      <c r="AY347" s="10"/>
      <c r="AZ347" s="10"/>
      <c r="BA347" s="10"/>
      <c r="BB347" s="10"/>
      <c r="BC347" s="10"/>
      <c r="BD347" s="10"/>
      <c r="BE347" s="10"/>
      <c r="BF347" s="10"/>
      <c r="BG347" s="10"/>
      <c r="BH347" s="10"/>
      <c r="BI347" s="10"/>
      <c r="BJ347" s="10"/>
      <c r="BK347" s="10"/>
      <c r="BL347" s="10"/>
    </row>
    <row r="348" spans="5:64" s="8" customFormat="1" x14ac:dyDescent="0.2">
      <c r="E348" s="85"/>
      <c r="AR348" s="10"/>
      <c r="AS348" s="10"/>
      <c r="AT348" s="10"/>
      <c r="AU348" s="10"/>
      <c r="AV348" s="10"/>
      <c r="AW348" s="10"/>
      <c r="AX348" s="10"/>
      <c r="AY348" s="10"/>
      <c r="AZ348" s="10"/>
      <c r="BA348" s="10"/>
      <c r="BB348" s="10"/>
      <c r="BC348" s="10"/>
      <c r="BD348" s="10"/>
      <c r="BE348" s="10"/>
      <c r="BF348" s="10"/>
      <c r="BG348" s="10"/>
      <c r="BH348" s="10"/>
      <c r="BI348" s="10"/>
      <c r="BJ348" s="10"/>
      <c r="BK348" s="10"/>
      <c r="BL348" s="10"/>
    </row>
    <row r="349" spans="5:64" s="8" customFormat="1" x14ac:dyDescent="0.2">
      <c r="E349" s="85"/>
      <c r="AR349" s="10"/>
      <c r="AS349" s="10"/>
      <c r="AT349" s="10"/>
      <c r="AU349" s="10"/>
      <c r="AV349" s="10"/>
      <c r="AW349" s="10"/>
      <c r="AX349" s="10"/>
      <c r="AY349" s="10"/>
      <c r="AZ349" s="10"/>
      <c r="BA349" s="10"/>
      <c r="BB349" s="10"/>
      <c r="BC349" s="10"/>
      <c r="BD349" s="10"/>
      <c r="BE349" s="10"/>
      <c r="BF349" s="10"/>
      <c r="BG349" s="10"/>
      <c r="BH349" s="10"/>
      <c r="BI349" s="10"/>
      <c r="BJ349" s="10"/>
      <c r="BK349" s="10"/>
      <c r="BL349" s="10"/>
    </row>
    <row r="350" spans="5:64" s="8" customFormat="1" x14ac:dyDescent="0.2">
      <c r="E350" s="85"/>
      <c r="AR350" s="10"/>
      <c r="AS350" s="10"/>
      <c r="AT350" s="10"/>
      <c r="AU350" s="10"/>
      <c r="AV350" s="10"/>
      <c r="AW350" s="10"/>
      <c r="AX350" s="10"/>
      <c r="AY350" s="10"/>
      <c r="AZ350" s="10"/>
      <c r="BA350" s="10"/>
      <c r="BB350" s="10"/>
      <c r="BC350" s="10"/>
      <c r="BD350" s="10"/>
      <c r="BE350" s="10"/>
      <c r="BF350" s="10"/>
      <c r="BG350" s="10"/>
      <c r="BH350" s="10"/>
      <c r="BI350" s="10"/>
      <c r="BJ350" s="10"/>
      <c r="BK350" s="10"/>
      <c r="BL350" s="10"/>
    </row>
    <row r="351" spans="5:64" s="8" customFormat="1" x14ac:dyDescent="0.2">
      <c r="E351" s="85"/>
      <c r="AR351" s="10"/>
      <c r="AS351" s="10"/>
      <c r="AT351" s="10"/>
      <c r="AU351" s="10"/>
      <c r="AV351" s="10"/>
      <c r="AW351" s="10"/>
      <c r="AX351" s="10"/>
      <c r="AY351" s="10"/>
      <c r="AZ351" s="10"/>
      <c r="BA351" s="10"/>
      <c r="BB351" s="10"/>
      <c r="BC351" s="10"/>
      <c r="BD351" s="10"/>
      <c r="BE351" s="10"/>
      <c r="BF351" s="10"/>
      <c r="BG351" s="10"/>
      <c r="BH351" s="10"/>
      <c r="BI351" s="10"/>
      <c r="BJ351" s="10"/>
      <c r="BK351" s="10"/>
      <c r="BL351" s="10"/>
    </row>
    <row r="352" spans="5:64" s="8" customFormat="1" x14ac:dyDescent="0.2">
      <c r="E352" s="85"/>
      <c r="AR352" s="10"/>
      <c r="AS352" s="10"/>
      <c r="AT352" s="10"/>
      <c r="AU352" s="10"/>
      <c r="AV352" s="10"/>
      <c r="AW352" s="10"/>
      <c r="AX352" s="10"/>
      <c r="AY352" s="10"/>
      <c r="AZ352" s="10"/>
      <c r="BA352" s="10"/>
      <c r="BB352" s="10"/>
      <c r="BC352" s="10"/>
      <c r="BD352" s="10"/>
      <c r="BE352" s="10"/>
      <c r="BF352" s="10"/>
      <c r="BG352" s="10"/>
      <c r="BH352" s="10"/>
      <c r="BI352" s="10"/>
      <c r="BJ352" s="10"/>
      <c r="BK352" s="10"/>
      <c r="BL352" s="10"/>
    </row>
    <row r="353" spans="5:64" s="8" customFormat="1" x14ac:dyDescent="0.2">
      <c r="E353" s="85"/>
      <c r="AR353" s="10"/>
      <c r="AS353" s="10"/>
      <c r="AT353" s="10"/>
      <c r="AU353" s="10"/>
      <c r="AV353" s="10"/>
      <c r="AW353" s="10"/>
      <c r="AX353" s="10"/>
      <c r="AY353" s="10"/>
      <c r="AZ353" s="10"/>
      <c r="BA353" s="10"/>
      <c r="BB353" s="10"/>
      <c r="BC353" s="10"/>
      <c r="BD353" s="10"/>
      <c r="BE353" s="10"/>
      <c r="BF353" s="10"/>
      <c r="BG353" s="10"/>
      <c r="BH353" s="10"/>
      <c r="BI353" s="10"/>
      <c r="BJ353" s="10"/>
      <c r="BK353" s="10"/>
      <c r="BL353" s="10"/>
    </row>
    <row r="354" spans="5:64" s="8" customFormat="1" x14ac:dyDescent="0.2">
      <c r="E354" s="85"/>
      <c r="AR354" s="10"/>
      <c r="AS354" s="10"/>
      <c r="AT354" s="10"/>
      <c r="AU354" s="10"/>
      <c r="AV354" s="10"/>
      <c r="AW354" s="10"/>
      <c r="AX354" s="10"/>
      <c r="AY354" s="10"/>
      <c r="AZ354" s="10"/>
      <c r="BA354" s="10"/>
      <c r="BB354" s="10"/>
      <c r="BC354" s="10"/>
      <c r="BD354" s="10"/>
      <c r="BE354" s="10"/>
      <c r="BF354" s="10"/>
      <c r="BG354" s="10"/>
      <c r="BH354" s="10"/>
      <c r="BI354" s="10"/>
      <c r="BJ354" s="10"/>
      <c r="BK354" s="10"/>
      <c r="BL354" s="10"/>
    </row>
    <row r="355" spans="5:64" s="8" customFormat="1" x14ac:dyDescent="0.2">
      <c r="E355" s="85"/>
      <c r="AR355" s="10"/>
      <c r="AS355" s="10"/>
      <c r="AT355" s="10"/>
      <c r="AU355" s="10"/>
      <c r="AV355" s="10"/>
      <c r="AW355" s="10"/>
      <c r="AX355" s="10"/>
      <c r="AY355" s="10"/>
      <c r="AZ355" s="10"/>
      <c r="BA355" s="10"/>
      <c r="BB355" s="10"/>
      <c r="BC355" s="10"/>
      <c r="BD355" s="10"/>
      <c r="BE355" s="10"/>
      <c r="BF355" s="10"/>
      <c r="BG355" s="10"/>
      <c r="BH355" s="10"/>
      <c r="BI355" s="10"/>
      <c r="BJ355" s="10"/>
      <c r="BK355" s="10"/>
      <c r="BL355" s="10"/>
    </row>
    <row r="356" spans="5:64" s="8" customFormat="1" x14ac:dyDescent="0.2">
      <c r="E356" s="85"/>
      <c r="AR356" s="10"/>
      <c r="AS356" s="10"/>
      <c r="AT356" s="10"/>
      <c r="AU356" s="10"/>
      <c r="AV356" s="10"/>
      <c r="AW356" s="10"/>
      <c r="AX356" s="10"/>
      <c r="AY356" s="10"/>
      <c r="AZ356" s="10"/>
      <c r="BA356" s="10"/>
      <c r="BB356" s="10"/>
      <c r="BC356" s="10"/>
      <c r="BD356" s="10"/>
      <c r="BE356" s="10"/>
      <c r="BF356" s="10"/>
      <c r="BG356" s="10"/>
      <c r="BH356" s="10"/>
      <c r="BI356" s="10"/>
      <c r="BJ356" s="10"/>
      <c r="BK356" s="10"/>
      <c r="BL356" s="10"/>
    </row>
    <row r="357" spans="5:64" s="8" customFormat="1" x14ac:dyDescent="0.2">
      <c r="E357" s="85"/>
      <c r="AR357" s="10"/>
      <c r="AS357" s="10"/>
      <c r="AT357" s="10"/>
      <c r="AU357" s="10"/>
      <c r="AV357" s="10"/>
      <c r="AW357" s="10"/>
      <c r="AX357" s="10"/>
      <c r="AY357" s="10"/>
      <c r="AZ357" s="10"/>
      <c r="BA357" s="10"/>
      <c r="BB357" s="10"/>
      <c r="BC357" s="10"/>
      <c r="BD357" s="10"/>
      <c r="BE357" s="10"/>
      <c r="BF357" s="10"/>
      <c r="BG357" s="10"/>
      <c r="BH357" s="10"/>
      <c r="BI357" s="10"/>
      <c r="BJ357" s="10"/>
      <c r="BK357" s="10"/>
      <c r="BL357" s="10"/>
    </row>
    <row r="358" spans="5:64" s="8" customFormat="1" x14ac:dyDescent="0.2">
      <c r="E358" s="85"/>
      <c r="AR358" s="10"/>
      <c r="AS358" s="10"/>
      <c r="AT358" s="10"/>
      <c r="AU358" s="10"/>
      <c r="AV358" s="10"/>
      <c r="AW358" s="10"/>
      <c r="AX358" s="10"/>
      <c r="AY358" s="10"/>
      <c r="AZ358" s="10"/>
      <c r="BA358" s="10"/>
      <c r="BB358" s="10"/>
      <c r="BC358" s="10"/>
      <c r="BD358" s="10"/>
      <c r="BE358" s="10"/>
      <c r="BF358" s="10"/>
      <c r="BG358" s="10"/>
      <c r="BH358" s="10"/>
      <c r="BI358" s="10"/>
      <c r="BJ358" s="10"/>
      <c r="BK358" s="10"/>
      <c r="BL358" s="10"/>
    </row>
    <row r="359" spans="5:64" s="8" customFormat="1" x14ac:dyDescent="0.2">
      <c r="E359" s="85"/>
      <c r="AR359" s="10"/>
      <c r="AS359" s="10"/>
      <c r="AT359" s="10"/>
      <c r="AU359" s="10"/>
      <c r="AV359" s="10"/>
      <c r="AW359" s="10"/>
      <c r="AX359" s="10"/>
      <c r="AY359" s="10"/>
      <c r="AZ359" s="10"/>
      <c r="BA359" s="10"/>
      <c r="BB359" s="10"/>
      <c r="BC359" s="10"/>
      <c r="BD359" s="10"/>
      <c r="BE359" s="10"/>
      <c r="BF359" s="10"/>
      <c r="BG359" s="10"/>
      <c r="BH359" s="10"/>
      <c r="BI359" s="10"/>
      <c r="BJ359" s="10"/>
      <c r="BK359" s="10"/>
      <c r="BL359" s="10"/>
    </row>
    <row r="360" spans="5:64" s="8" customFormat="1" x14ac:dyDescent="0.2">
      <c r="E360" s="85"/>
      <c r="AR360" s="10"/>
      <c r="AS360" s="10"/>
      <c r="AT360" s="10"/>
      <c r="AU360" s="10"/>
      <c r="AV360" s="10"/>
      <c r="AW360" s="10"/>
      <c r="AX360" s="10"/>
      <c r="AY360" s="10"/>
      <c r="AZ360" s="10"/>
      <c r="BA360" s="10"/>
      <c r="BB360" s="10"/>
      <c r="BC360" s="10"/>
      <c r="BD360" s="10"/>
      <c r="BE360" s="10"/>
      <c r="BF360" s="10"/>
      <c r="BG360" s="10"/>
      <c r="BH360" s="10"/>
      <c r="BI360" s="10"/>
      <c r="BJ360" s="10"/>
      <c r="BK360" s="10"/>
      <c r="BL360" s="10"/>
    </row>
    <row r="361" spans="5:64" s="8" customFormat="1" x14ac:dyDescent="0.2">
      <c r="E361" s="85"/>
      <c r="AR361" s="10"/>
      <c r="AS361" s="10"/>
      <c r="AT361" s="10"/>
      <c r="AU361" s="10"/>
      <c r="AV361" s="10"/>
      <c r="AW361" s="10"/>
      <c r="AX361" s="10"/>
      <c r="AY361" s="10"/>
      <c r="AZ361" s="10"/>
      <c r="BA361" s="10"/>
      <c r="BB361" s="10"/>
      <c r="BC361" s="10"/>
      <c r="BD361" s="10"/>
      <c r="BE361" s="10"/>
      <c r="BF361" s="10"/>
      <c r="BG361" s="10"/>
      <c r="BH361" s="10"/>
      <c r="BI361" s="10"/>
      <c r="BJ361" s="10"/>
      <c r="BK361" s="10"/>
      <c r="BL361" s="10"/>
    </row>
    <row r="362" spans="5:64" s="8" customFormat="1" x14ac:dyDescent="0.2">
      <c r="E362" s="85"/>
      <c r="AR362" s="10"/>
      <c r="AS362" s="10"/>
      <c r="AT362" s="10"/>
      <c r="AU362" s="10"/>
      <c r="AV362" s="10"/>
      <c r="AW362" s="10"/>
      <c r="AX362" s="10"/>
      <c r="AY362" s="10"/>
      <c r="AZ362" s="10"/>
      <c r="BA362" s="10"/>
      <c r="BB362" s="10"/>
      <c r="BC362" s="10"/>
      <c r="BD362" s="10"/>
      <c r="BE362" s="10"/>
      <c r="BF362" s="10"/>
      <c r="BG362" s="10"/>
      <c r="BH362" s="10"/>
      <c r="BI362" s="10"/>
      <c r="BJ362" s="10"/>
      <c r="BK362" s="10"/>
      <c r="BL362" s="10"/>
    </row>
    <row r="363" spans="5:64" s="8" customFormat="1" x14ac:dyDescent="0.2">
      <c r="E363" s="85"/>
      <c r="AR363" s="10"/>
      <c r="AS363" s="10"/>
      <c r="AT363" s="10"/>
      <c r="AU363" s="10"/>
      <c r="AV363" s="10"/>
      <c r="AW363" s="10"/>
      <c r="AX363" s="10"/>
      <c r="AY363" s="10"/>
      <c r="AZ363" s="10"/>
      <c r="BA363" s="10"/>
      <c r="BB363" s="10"/>
      <c r="BC363" s="10"/>
      <c r="BD363" s="10"/>
      <c r="BE363" s="10"/>
      <c r="BF363" s="10"/>
      <c r="BG363" s="10"/>
      <c r="BH363" s="10"/>
      <c r="BI363" s="10"/>
      <c r="BJ363" s="10"/>
      <c r="BK363" s="10"/>
      <c r="BL363" s="10"/>
    </row>
    <row r="364" spans="5:64" s="8" customFormat="1" x14ac:dyDescent="0.2">
      <c r="E364" s="85"/>
      <c r="AR364" s="10"/>
      <c r="AS364" s="10"/>
      <c r="AT364" s="10"/>
      <c r="AU364" s="10"/>
      <c r="AV364" s="10"/>
      <c r="AW364" s="10"/>
      <c r="AX364" s="10"/>
      <c r="AY364" s="10"/>
      <c r="AZ364" s="10"/>
      <c r="BA364" s="10"/>
      <c r="BB364" s="10"/>
      <c r="BC364" s="10"/>
      <c r="BD364" s="10"/>
      <c r="BE364" s="10"/>
      <c r="BF364" s="10"/>
      <c r="BG364" s="10"/>
      <c r="BH364" s="10"/>
      <c r="BI364" s="10"/>
      <c r="BJ364" s="10"/>
      <c r="BK364" s="10"/>
      <c r="BL364" s="10"/>
    </row>
    <row r="365" spans="5:64" s="8" customFormat="1" x14ac:dyDescent="0.2">
      <c r="E365" s="85"/>
      <c r="AR365" s="10"/>
      <c r="AS365" s="10"/>
      <c r="AT365" s="10"/>
      <c r="AU365" s="10"/>
      <c r="AV365" s="10"/>
      <c r="AW365" s="10"/>
      <c r="AX365" s="10"/>
      <c r="AY365" s="10"/>
      <c r="AZ365" s="10"/>
      <c r="BA365" s="10"/>
      <c r="BB365" s="10"/>
      <c r="BC365" s="10"/>
      <c r="BD365" s="10"/>
      <c r="BE365" s="10"/>
      <c r="BF365" s="10"/>
      <c r="BG365" s="10"/>
      <c r="BH365" s="10"/>
      <c r="BI365" s="10"/>
      <c r="BJ365" s="10"/>
      <c r="BK365" s="10"/>
      <c r="BL365" s="10"/>
    </row>
    <row r="366" spans="5:64" s="8" customFormat="1" x14ac:dyDescent="0.2">
      <c r="E366" s="85"/>
      <c r="AR366" s="10"/>
      <c r="AS366" s="10"/>
      <c r="AT366" s="10"/>
      <c r="AU366" s="10"/>
      <c r="AV366" s="10"/>
      <c r="AW366" s="10"/>
      <c r="AX366" s="10"/>
      <c r="AY366" s="10"/>
      <c r="AZ366" s="10"/>
      <c r="BA366" s="10"/>
      <c r="BB366" s="10"/>
      <c r="BC366" s="10"/>
      <c r="BD366" s="10"/>
      <c r="BE366" s="10"/>
      <c r="BF366" s="10"/>
      <c r="BG366" s="10"/>
      <c r="BH366" s="10"/>
      <c r="BI366" s="10"/>
      <c r="BJ366" s="10"/>
      <c r="BK366" s="10"/>
      <c r="BL366" s="10"/>
    </row>
    <row r="367" spans="5:64" s="8" customFormat="1" x14ac:dyDescent="0.2">
      <c r="E367" s="85"/>
      <c r="AR367" s="10"/>
      <c r="AS367" s="10"/>
      <c r="AT367" s="10"/>
      <c r="AU367" s="10"/>
      <c r="AV367" s="10"/>
      <c r="AW367" s="10"/>
      <c r="AX367" s="10"/>
      <c r="AY367" s="10"/>
      <c r="AZ367" s="10"/>
      <c r="BA367" s="10"/>
      <c r="BB367" s="10"/>
      <c r="BC367" s="10"/>
      <c r="BD367" s="10"/>
      <c r="BE367" s="10"/>
      <c r="BF367" s="10"/>
      <c r="BG367" s="10"/>
      <c r="BH367" s="10"/>
      <c r="BI367" s="10"/>
      <c r="BJ367" s="10"/>
      <c r="BK367" s="10"/>
      <c r="BL367" s="10"/>
    </row>
    <row r="368" spans="5:64" s="8" customFormat="1" x14ac:dyDescent="0.2">
      <c r="E368" s="85"/>
      <c r="AR368" s="10"/>
      <c r="AS368" s="10"/>
      <c r="AT368" s="10"/>
      <c r="AU368" s="10"/>
      <c r="AV368" s="10"/>
      <c r="AW368" s="10"/>
      <c r="AX368" s="10"/>
      <c r="AY368" s="10"/>
      <c r="AZ368" s="10"/>
      <c r="BA368" s="10"/>
      <c r="BB368" s="10"/>
      <c r="BC368" s="10"/>
      <c r="BD368" s="10"/>
      <c r="BE368" s="10"/>
      <c r="BF368" s="10"/>
      <c r="BG368" s="10"/>
      <c r="BH368" s="10"/>
      <c r="BI368" s="10"/>
      <c r="BJ368" s="10"/>
      <c r="BK368" s="10"/>
      <c r="BL368" s="10"/>
    </row>
    <row r="369" spans="5:64" s="8" customFormat="1" x14ac:dyDescent="0.2">
      <c r="E369" s="85"/>
      <c r="AR369" s="10"/>
      <c r="AS369" s="10"/>
      <c r="AT369" s="10"/>
      <c r="AU369" s="10"/>
      <c r="AV369" s="10"/>
      <c r="AW369" s="10"/>
      <c r="AX369" s="10"/>
      <c r="AY369" s="10"/>
      <c r="AZ369" s="10"/>
      <c r="BA369" s="10"/>
      <c r="BB369" s="10"/>
      <c r="BC369" s="10"/>
      <c r="BD369" s="10"/>
      <c r="BE369" s="10"/>
      <c r="BF369" s="10"/>
      <c r="BG369" s="10"/>
      <c r="BH369" s="10"/>
      <c r="BI369" s="10"/>
      <c r="BJ369" s="10"/>
      <c r="BK369" s="10"/>
      <c r="BL369" s="10"/>
    </row>
    <row r="370" spans="5:64" s="8" customFormat="1" x14ac:dyDescent="0.2">
      <c r="E370" s="85"/>
      <c r="AR370" s="10"/>
      <c r="AS370" s="10"/>
      <c r="AT370" s="10"/>
      <c r="AU370" s="10"/>
      <c r="AV370" s="10"/>
      <c r="AW370" s="10"/>
      <c r="AX370" s="10"/>
      <c r="AY370" s="10"/>
      <c r="AZ370" s="10"/>
      <c r="BA370" s="10"/>
      <c r="BB370" s="10"/>
      <c r="BC370" s="10"/>
      <c r="BD370" s="10"/>
      <c r="BE370" s="10"/>
      <c r="BF370" s="10"/>
      <c r="BG370" s="10"/>
      <c r="BH370" s="10"/>
      <c r="BI370" s="10"/>
      <c r="BJ370" s="10"/>
      <c r="BK370" s="10"/>
      <c r="BL370" s="10"/>
    </row>
    <row r="371" spans="5:64" s="8" customFormat="1" x14ac:dyDescent="0.2">
      <c r="E371" s="85"/>
      <c r="AR371" s="10"/>
      <c r="AS371" s="10"/>
      <c r="AT371" s="10"/>
      <c r="AU371" s="10"/>
      <c r="AV371" s="10"/>
      <c r="AW371" s="10"/>
      <c r="AX371" s="10"/>
      <c r="AY371" s="10"/>
      <c r="AZ371" s="10"/>
      <c r="BA371" s="10"/>
      <c r="BB371" s="10"/>
      <c r="BC371" s="10"/>
      <c r="BD371" s="10"/>
      <c r="BE371" s="10"/>
      <c r="BF371" s="10"/>
      <c r="BG371" s="10"/>
      <c r="BH371" s="10"/>
      <c r="BI371" s="10"/>
      <c r="BJ371" s="10"/>
      <c r="BK371" s="10"/>
      <c r="BL371" s="10"/>
    </row>
    <row r="372" spans="5:64" s="8" customFormat="1" x14ac:dyDescent="0.2">
      <c r="E372" s="85"/>
      <c r="AR372" s="10"/>
      <c r="AS372" s="10"/>
      <c r="AT372" s="10"/>
      <c r="AU372" s="10"/>
      <c r="AV372" s="10"/>
      <c r="AW372" s="10"/>
      <c r="AX372" s="10"/>
      <c r="AY372" s="10"/>
      <c r="AZ372" s="10"/>
      <c r="BA372" s="10"/>
      <c r="BB372" s="10"/>
      <c r="BC372" s="10"/>
      <c r="BD372" s="10"/>
      <c r="BE372" s="10"/>
      <c r="BF372" s="10"/>
      <c r="BG372" s="10"/>
      <c r="BH372" s="10"/>
      <c r="BI372" s="10"/>
      <c r="BJ372" s="10"/>
      <c r="BK372" s="10"/>
      <c r="BL372" s="10"/>
    </row>
    <row r="373" spans="5:64" s="8" customFormat="1" x14ac:dyDescent="0.2">
      <c r="E373" s="85"/>
      <c r="AR373" s="10"/>
      <c r="AS373" s="10"/>
      <c r="AT373" s="10"/>
      <c r="AU373" s="10"/>
      <c r="AV373" s="10"/>
      <c r="AW373" s="10"/>
      <c r="AX373" s="10"/>
      <c r="AY373" s="10"/>
      <c r="AZ373" s="10"/>
      <c r="BA373" s="10"/>
      <c r="BB373" s="10"/>
      <c r="BC373" s="10"/>
      <c r="BD373" s="10"/>
      <c r="BE373" s="10"/>
      <c r="BF373" s="10"/>
      <c r="BG373" s="10"/>
      <c r="BH373" s="10"/>
      <c r="BI373" s="10"/>
      <c r="BJ373" s="10"/>
      <c r="BK373" s="10"/>
      <c r="BL373" s="10"/>
    </row>
    <row r="374" spans="5:64" s="8" customFormat="1" x14ac:dyDescent="0.2">
      <c r="E374" s="85"/>
      <c r="AR374" s="10"/>
      <c r="AS374" s="10"/>
      <c r="AT374" s="10"/>
      <c r="AU374" s="10"/>
      <c r="AV374" s="10"/>
      <c r="AW374" s="10"/>
      <c r="AX374" s="10"/>
      <c r="AY374" s="10"/>
      <c r="AZ374" s="10"/>
      <c r="BA374" s="10"/>
      <c r="BB374" s="10"/>
      <c r="BC374" s="10"/>
      <c r="BD374" s="10"/>
      <c r="BE374" s="10"/>
      <c r="BF374" s="10"/>
      <c r="BG374" s="10"/>
      <c r="BH374" s="10"/>
      <c r="BI374" s="10"/>
      <c r="BJ374" s="10"/>
      <c r="BK374" s="10"/>
      <c r="BL374" s="10"/>
    </row>
    <row r="375" spans="5:64" s="8" customFormat="1" x14ac:dyDescent="0.2">
      <c r="E375" s="85"/>
      <c r="AR375" s="10"/>
      <c r="AS375" s="10"/>
      <c r="AT375" s="10"/>
      <c r="AU375" s="10"/>
      <c r="AV375" s="10"/>
      <c r="AW375" s="10"/>
      <c r="AX375" s="10"/>
      <c r="AY375" s="10"/>
      <c r="AZ375" s="10"/>
      <c r="BA375" s="10"/>
      <c r="BB375" s="10"/>
      <c r="BC375" s="10"/>
      <c r="BD375" s="10"/>
      <c r="BE375" s="10"/>
      <c r="BF375" s="10"/>
      <c r="BG375" s="10"/>
      <c r="BH375" s="10"/>
      <c r="BI375" s="10"/>
      <c r="BJ375" s="10"/>
      <c r="BK375" s="10"/>
      <c r="BL375" s="10"/>
    </row>
    <row r="376" spans="5:64" s="8" customFormat="1" x14ac:dyDescent="0.2">
      <c r="E376" s="85"/>
      <c r="AR376" s="10"/>
      <c r="AS376" s="10"/>
      <c r="AT376" s="10"/>
      <c r="AU376" s="10"/>
      <c r="AV376" s="10"/>
      <c r="AW376" s="10"/>
      <c r="AX376" s="10"/>
      <c r="AY376" s="10"/>
      <c r="AZ376" s="10"/>
      <c r="BA376" s="10"/>
      <c r="BB376" s="10"/>
      <c r="BC376" s="10"/>
      <c r="BD376" s="10"/>
      <c r="BE376" s="10"/>
      <c r="BF376" s="10"/>
      <c r="BG376" s="10"/>
      <c r="BH376" s="10"/>
      <c r="BI376" s="10"/>
      <c r="BJ376" s="10"/>
      <c r="BK376" s="10"/>
      <c r="BL376" s="10"/>
    </row>
    <row r="377" spans="5:64" s="8" customFormat="1" x14ac:dyDescent="0.2">
      <c r="E377" s="85"/>
      <c r="AR377" s="10"/>
      <c r="AS377" s="10"/>
      <c r="AT377" s="10"/>
      <c r="AU377" s="10"/>
      <c r="AV377" s="10"/>
      <c r="AW377" s="10"/>
      <c r="AX377" s="10"/>
      <c r="AY377" s="10"/>
      <c r="AZ377" s="10"/>
      <c r="BA377" s="10"/>
      <c r="BB377" s="10"/>
      <c r="BC377" s="10"/>
      <c r="BD377" s="10"/>
      <c r="BE377" s="10"/>
      <c r="BF377" s="10"/>
      <c r="BG377" s="10"/>
      <c r="BH377" s="10"/>
      <c r="BI377" s="10"/>
      <c r="BJ377" s="10"/>
      <c r="BK377" s="10"/>
      <c r="BL377" s="10"/>
    </row>
    <row r="378" spans="5:64" s="8" customFormat="1" x14ac:dyDescent="0.2">
      <c r="E378" s="85"/>
      <c r="AR378" s="10"/>
      <c r="AS378" s="10"/>
      <c r="AT378" s="10"/>
      <c r="AU378" s="10"/>
      <c r="AV378" s="10"/>
      <c r="AW378" s="10"/>
      <c r="AX378" s="10"/>
      <c r="AY378" s="10"/>
      <c r="AZ378" s="10"/>
      <c r="BA378" s="10"/>
      <c r="BB378" s="10"/>
      <c r="BC378" s="10"/>
      <c r="BD378" s="10"/>
      <c r="BE378" s="10"/>
      <c r="BF378" s="10"/>
      <c r="BG378" s="10"/>
      <c r="BH378" s="10"/>
      <c r="BI378" s="10"/>
      <c r="BJ378" s="10"/>
      <c r="BK378" s="10"/>
      <c r="BL378" s="10"/>
    </row>
    <row r="379" spans="5:64" s="8" customFormat="1" x14ac:dyDescent="0.2">
      <c r="E379" s="85"/>
      <c r="AR379" s="10"/>
      <c r="AS379" s="10"/>
      <c r="AT379" s="10"/>
      <c r="AU379" s="10"/>
      <c r="AV379" s="10"/>
      <c r="AW379" s="10"/>
      <c r="AX379" s="10"/>
      <c r="AY379" s="10"/>
      <c r="AZ379" s="10"/>
      <c r="BA379" s="10"/>
      <c r="BB379" s="10"/>
      <c r="BC379" s="10"/>
      <c r="BD379" s="10"/>
      <c r="BE379" s="10"/>
      <c r="BF379" s="10"/>
      <c r="BG379" s="10"/>
      <c r="BH379" s="10"/>
      <c r="BI379" s="10"/>
      <c r="BJ379" s="10"/>
      <c r="BK379" s="10"/>
      <c r="BL379" s="10"/>
    </row>
    <row r="380" spans="5:64" s="8" customFormat="1" x14ac:dyDescent="0.2">
      <c r="E380" s="85"/>
      <c r="AR380" s="10"/>
      <c r="AS380" s="10"/>
      <c r="AT380" s="10"/>
      <c r="AU380" s="10"/>
      <c r="AV380" s="10"/>
      <c r="AW380" s="10"/>
      <c r="AX380" s="10"/>
      <c r="AY380" s="10"/>
      <c r="AZ380" s="10"/>
      <c r="BA380" s="10"/>
      <c r="BB380" s="10"/>
      <c r="BC380" s="10"/>
      <c r="BD380" s="10"/>
      <c r="BE380" s="10"/>
      <c r="BF380" s="10"/>
      <c r="BG380" s="10"/>
      <c r="BH380" s="10"/>
      <c r="BI380" s="10"/>
      <c r="BJ380" s="10"/>
      <c r="BK380" s="10"/>
      <c r="BL380" s="10"/>
    </row>
    <row r="381" spans="5:64" s="8" customFormat="1" x14ac:dyDescent="0.2">
      <c r="E381" s="85"/>
      <c r="AR381" s="10"/>
      <c r="AS381" s="10"/>
      <c r="AT381" s="10"/>
      <c r="AU381" s="10"/>
      <c r="AV381" s="10"/>
      <c r="AW381" s="10"/>
      <c r="AX381" s="10"/>
      <c r="AY381" s="10"/>
      <c r="AZ381" s="10"/>
      <c r="BA381" s="10"/>
      <c r="BB381" s="10"/>
      <c r="BC381" s="10"/>
      <c r="BD381" s="10"/>
      <c r="BE381" s="10"/>
      <c r="BF381" s="10"/>
      <c r="BG381" s="10"/>
      <c r="BH381" s="10"/>
      <c r="BI381" s="10"/>
      <c r="BJ381" s="10"/>
      <c r="BK381" s="10"/>
      <c r="BL381" s="10"/>
    </row>
    <row r="382" spans="5:64" s="8" customFormat="1" x14ac:dyDescent="0.2">
      <c r="E382" s="85"/>
      <c r="AR382" s="10"/>
      <c r="AS382" s="10"/>
      <c r="AT382" s="10"/>
      <c r="AU382" s="10"/>
      <c r="AV382" s="10"/>
      <c r="AW382" s="10"/>
      <c r="AX382" s="10"/>
      <c r="AY382" s="10"/>
      <c r="AZ382" s="10"/>
      <c r="BA382" s="10"/>
      <c r="BB382" s="10"/>
      <c r="BC382" s="10"/>
      <c r="BD382" s="10"/>
      <c r="BE382" s="10"/>
      <c r="BF382" s="10"/>
      <c r="BG382" s="10"/>
      <c r="BH382" s="10"/>
      <c r="BI382" s="10"/>
      <c r="BJ382" s="10"/>
      <c r="BK382" s="10"/>
      <c r="BL382" s="10"/>
    </row>
    <row r="383" spans="5:64" s="8" customFormat="1" x14ac:dyDescent="0.2">
      <c r="E383" s="85"/>
      <c r="AR383" s="10"/>
      <c r="AS383" s="10"/>
      <c r="AT383" s="10"/>
      <c r="AU383" s="10"/>
      <c r="AV383" s="10"/>
      <c r="AW383" s="10"/>
      <c r="AX383" s="10"/>
      <c r="AY383" s="10"/>
      <c r="AZ383" s="10"/>
      <c r="BA383" s="10"/>
      <c r="BB383" s="10"/>
      <c r="BC383" s="10"/>
      <c r="BD383" s="10"/>
      <c r="BE383" s="10"/>
      <c r="BF383" s="10"/>
      <c r="BG383" s="10"/>
      <c r="BH383" s="10"/>
      <c r="BI383" s="10"/>
      <c r="BJ383" s="10"/>
      <c r="BK383" s="10"/>
      <c r="BL383" s="10"/>
    </row>
    <row r="384" spans="5:64" s="8" customFormat="1" x14ac:dyDescent="0.2">
      <c r="E384" s="85"/>
      <c r="AR384" s="10"/>
      <c r="AS384" s="10"/>
      <c r="AT384" s="10"/>
      <c r="AU384" s="10"/>
      <c r="AV384" s="10"/>
      <c r="AW384" s="10"/>
      <c r="AX384" s="10"/>
      <c r="AY384" s="10"/>
      <c r="AZ384" s="10"/>
      <c r="BA384" s="10"/>
      <c r="BB384" s="10"/>
      <c r="BC384" s="10"/>
      <c r="BD384" s="10"/>
      <c r="BE384" s="10"/>
      <c r="BF384" s="10"/>
      <c r="BG384" s="10"/>
      <c r="BH384" s="10"/>
      <c r="BI384" s="10"/>
      <c r="BJ384" s="10"/>
      <c r="BK384" s="10"/>
      <c r="BL384" s="10"/>
    </row>
    <row r="385" spans="5:64" s="8" customFormat="1" x14ac:dyDescent="0.2">
      <c r="E385" s="85"/>
      <c r="AR385" s="10"/>
      <c r="AS385" s="10"/>
      <c r="AT385" s="10"/>
      <c r="AU385" s="10"/>
      <c r="AV385" s="10"/>
      <c r="AW385" s="10"/>
      <c r="AX385" s="10"/>
      <c r="AY385" s="10"/>
      <c r="AZ385" s="10"/>
      <c r="BA385" s="10"/>
      <c r="BB385" s="10"/>
      <c r="BC385" s="10"/>
      <c r="BD385" s="10"/>
      <c r="BE385" s="10"/>
      <c r="BF385" s="10"/>
      <c r="BG385" s="10"/>
      <c r="BH385" s="10"/>
      <c r="BI385" s="10"/>
      <c r="BJ385" s="10"/>
      <c r="BK385" s="10"/>
      <c r="BL385" s="10"/>
    </row>
    <row r="386" spans="5:64" s="8" customFormat="1" x14ac:dyDescent="0.2">
      <c r="E386" s="85"/>
      <c r="AR386" s="10"/>
      <c r="AS386" s="10"/>
      <c r="AT386" s="10"/>
      <c r="AU386" s="10"/>
      <c r="AV386" s="10"/>
      <c r="AW386" s="10"/>
      <c r="AX386" s="10"/>
      <c r="AY386" s="10"/>
      <c r="AZ386" s="10"/>
      <c r="BA386" s="10"/>
      <c r="BB386" s="10"/>
      <c r="BC386" s="10"/>
      <c r="BD386" s="10"/>
      <c r="BE386" s="10"/>
      <c r="BF386" s="10"/>
      <c r="BG386" s="10"/>
      <c r="BH386" s="10"/>
      <c r="BI386" s="10"/>
      <c r="BJ386" s="10"/>
      <c r="BK386" s="10"/>
      <c r="BL386" s="10"/>
    </row>
    <row r="387" spans="5:64" s="8" customFormat="1" x14ac:dyDescent="0.2">
      <c r="E387" s="85"/>
      <c r="AR387" s="10"/>
      <c r="AS387" s="10"/>
      <c r="AT387" s="10"/>
      <c r="AU387" s="10"/>
      <c r="AV387" s="10"/>
      <c r="AW387" s="10"/>
      <c r="AX387" s="10"/>
      <c r="AY387" s="10"/>
      <c r="AZ387" s="10"/>
      <c r="BA387" s="10"/>
      <c r="BB387" s="10"/>
      <c r="BC387" s="10"/>
      <c r="BD387" s="10"/>
      <c r="BE387" s="10"/>
      <c r="BF387" s="10"/>
      <c r="BG387" s="10"/>
      <c r="BH387" s="10"/>
      <c r="BI387" s="10"/>
      <c r="BJ387" s="10"/>
      <c r="BK387" s="10"/>
      <c r="BL387" s="10"/>
    </row>
    <row r="388" spans="5:64" s="8" customFormat="1" x14ac:dyDescent="0.2">
      <c r="E388" s="85"/>
      <c r="AR388" s="10"/>
      <c r="AS388" s="10"/>
      <c r="AT388" s="10"/>
      <c r="AU388" s="10"/>
      <c r="AV388" s="10"/>
      <c r="AW388" s="10"/>
      <c r="AX388" s="10"/>
      <c r="AY388" s="10"/>
      <c r="AZ388" s="10"/>
      <c r="BA388" s="10"/>
      <c r="BB388" s="10"/>
      <c r="BC388" s="10"/>
      <c r="BD388" s="10"/>
      <c r="BE388" s="10"/>
      <c r="BF388" s="10"/>
      <c r="BG388" s="10"/>
      <c r="BH388" s="10"/>
      <c r="BI388" s="10"/>
      <c r="BJ388" s="10"/>
      <c r="BK388" s="10"/>
      <c r="BL388" s="10"/>
    </row>
    <row r="389" spans="5:64" s="8" customFormat="1" x14ac:dyDescent="0.2">
      <c r="E389" s="85"/>
      <c r="AR389" s="10"/>
      <c r="AS389" s="10"/>
      <c r="AT389" s="10"/>
      <c r="AU389" s="10"/>
      <c r="AV389" s="10"/>
      <c r="AW389" s="10"/>
      <c r="AX389" s="10"/>
      <c r="AY389" s="10"/>
      <c r="AZ389" s="10"/>
      <c r="BA389" s="10"/>
      <c r="BB389" s="10"/>
      <c r="BC389" s="10"/>
      <c r="BD389" s="10"/>
      <c r="BE389" s="10"/>
      <c r="BF389" s="10"/>
      <c r="BG389" s="10"/>
      <c r="BH389" s="10"/>
      <c r="BI389" s="10"/>
      <c r="BJ389" s="10"/>
      <c r="BK389" s="10"/>
      <c r="BL389" s="10"/>
    </row>
    <row r="390" spans="5:64" s="8" customFormat="1" x14ac:dyDescent="0.2">
      <c r="E390" s="85"/>
      <c r="AR390" s="10"/>
      <c r="AS390" s="10"/>
      <c r="AT390" s="10"/>
      <c r="AU390" s="10"/>
      <c r="AV390" s="10"/>
      <c r="AW390" s="10"/>
      <c r="AX390" s="10"/>
      <c r="AY390" s="10"/>
      <c r="AZ390" s="10"/>
      <c r="BA390" s="10"/>
      <c r="BB390" s="10"/>
      <c r="BC390" s="10"/>
      <c r="BD390" s="10"/>
      <c r="BE390" s="10"/>
      <c r="BF390" s="10"/>
      <c r="BG390" s="10"/>
      <c r="BH390" s="10"/>
      <c r="BI390" s="10"/>
      <c r="BJ390" s="10"/>
      <c r="BK390" s="10"/>
      <c r="BL390" s="10"/>
    </row>
    <row r="391" spans="5:64" s="8" customFormat="1" x14ac:dyDescent="0.2">
      <c r="E391" s="85"/>
      <c r="AR391" s="10"/>
      <c r="AS391" s="10"/>
      <c r="AT391" s="10"/>
      <c r="AU391" s="10"/>
      <c r="AV391" s="10"/>
      <c r="AW391" s="10"/>
      <c r="AX391" s="10"/>
      <c r="AY391" s="10"/>
      <c r="AZ391" s="10"/>
      <c r="BA391" s="10"/>
      <c r="BB391" s="10"/>
      <c r="BC391" s="10"/>
      <c r="BD391" s="10"/>
      <c r="BE391" s="10"/>
      <c r="BF391" s="10"/>
      <c r="BG391" s="10"/>
      <c r="BH391" s="10"/>
      <c r="BI391" s="10"/>
      <c r="BJ391" s="10"/>
      <c r="BK391" s="10"/>
      <c r="BL391" s="10"/>
    </row>
    <row r="392" spans="5:64" s="8" customFormat="1" x14ac:dyDescent="0.2">
      <c r="E392" s="85"/>
      <c r="AR392" s="10"/>
      <c r="AS392" s="10"/>
      <c r="AT392" s="10"/>
      <c r="AU392" s="10"/>
      <c r="AV392" s="10"/>
      <c r="AW392" s="10"/>
      <c r="AX392" s="10"/>
      <c r="AY392" s="10"/>
      <c r="AZ392" s="10"/>
      <c r="BA392" s="10"/>
      <c r="BB392" s="10"/>
      <c r="BC392" s="10"/>
      <c r="BD392" s="10"/>
      <c r="BE392" s="10"/>
      <c r="BF392" s="10"/>
      <c r="BG392" s="10"/>
      <c r="BH392" s="10"/>
      <c r="BI392" s="10"/>
      <c r="BJ392" s="10"/>
      <c r="BK392" s="10"/>
      <c r="BL392" s="10"/>
    </row>
    <row r="393" spans="5:64" s="8" customFormat="1" x14ac:dyDescent="0.2">
      <c r="E393" s="85"/>
      <c r="AR393" s="10"/>
      <c r="AS393" s="10"/>
      <c r="AT393" s="10"/>
      <c r="AU393" s="10"/>
      <c r="AV393" s="10"/>
      <c r="AW393" s="10"/>
      <c r="AX393" s="10"/>
      <c r="AY393" s="10"/>
      <c r="AZ393" s="10"/>
      <c r="BA393" s="10"/>
      <c r="BB393" s="10"/>
      <c r="BC393" s="10"/>
      <c r="BD393" s="10"/>
      <c r="BE393" s="10"/>
      <c r="BF393" s="10"/>
      <c r="BG393" s="10"/>
      <c r="BH393" s="10"/>
      <c r="BI393" s="10"/>
      <c r="BJ393" s="10"/>
      <c r="BK393" s="10"/>
      <c r="BL393" s="10"/>
    </row>
    <row r="394" spans="5:64" s="8" customFormat="1" x14ac:dyDescent="0.2">
      <c r="E394" s="85"/>
      <c r="AR394" s="10"/>
      <c r="AS394" s="10"/>
      <c r="AT394" s="10"/>
      <c r="AU394" s="10"/>
      <c r="AV394" s="10"/>
      <c r="AW394" s="10"/>
      <c r="AX394" s="10"/>
      <c r="AY394" s="10"/>
      <c r="AZ394" s="10"/>
      <c r="BA394" s="10"/>
      <c r="BB394" s="10"/>
      <c r="BC394" s="10"/>
      <c r="BD394" s="10"/>
      <c r="BE394" s="10"/>
      <c r="BF394" s="10"/>
      <c r="BG394" s="10"/>
      <c r="BH394" s="10"/>
      <c r="BI394" s="10"/>
      <c r="BJ394" s="10"/>
      <c r="BK394" s="10"/>
      <c r="BL394" s="10"/>
    </row>
    <row r="395" spans="5:64" s="8" customFormat="1" x14ac:dyDescent="0.2">
      <c r="E395" s="85"/>
      <c r="AR395" s="10"/>
      <c r="AS395" s="10"/>
      <c r="AT395" s="10"/>
      <c r="AU395" s="10"/>
      <c r="AV395" s="10"/>
      <c r="AW395" s="10"/>
      <c r="AX395" s="10"/>
      <c r="AY395" s="10"/>
      <c r="AZ395" s="10"/>
      <c r="BA395" s="10"/>
      <c r="BB395" s="10"/>
      <c r="BC395" s="10"/>
      <c r="BD395" s="10"/>
      <c r="BE395" s="10"/>
      <c r="BF395" s="10"/>
      <c r="BG395" s="10"/>
      <c r="BH395" s="10"/>
      <c r="BI395" s="10"/>
      <c r="BJ395" s="10"/>
      <c r="BK395" s="10"/>
      <c r="BL395" s="10"/>
    </row>
    <row r="396" spans="5:64" s="8" customFormat="1" x14ac:dyDescent="0.2">
      <c r="E396" s="85"/>
      <c r="AR396" s="10"/>
      <c r="AS396" s="10"/>
      <c r="AT396" s="10"/>
      <c r="AU396" s="10"/>
      <c r="AV396" s="10"/>
      <c r="AW396" s="10"/>
      <c r="AX396" s="10"/>
      <c r="AY396" s="10"/>
      <c r="AZ396" s="10"/>
      <c r="BA396" s="10"/>
      <c r="BB396" s="10"/>
      <c r="BC396" s="10"/>
      <c r="BD396" s="10"/>
      <c r="BE396" s="10"/>
      <c r="BF396" s="10"/>
      <c r="BG396" s="10"/>
      <c r="BH396" s="10"/>
      <c r="BI396" s="10"/>
      <c r="BJ396" s="10"/>
      <c r="BK396" s="10"/>
      <c r="BL396" s="10"/>
    </row>
    <row r="397" spans="5:64" s="8" customFormat="1" x14ac:dyDescent="0.2">
      <c r="E397" s="85"/>
      <c r="AR397" s="10"/>
      <c r="AS397" s="10"/>
      <c r="AT397" s="10"/>
      <c r="AU397" s="10"/>
      <c r="AV397" s="10"/>
      <c r="AW397" s="10"/>
      <c r="AX397" s="10"/>
      <c r="AY397" s="10"/>
      <c r="AZ397" s="10"/>
      <c r="BA397" s="10"/>
      <c r="BB397" s="10"/>
      <c r="BC397" s="10"/>
      <c r="BD397" s="10"/>
      <c r="BE397" s="10"/>
      <c r="BF397" s="10"/>
      <c r="BG397" s="10"/>
      <c r="BH397" s="10"/>
      <c r="BI397" s="10"/>
      <c r="BJ397" s="10"/>
      <c r="BK397" s="10"/>
      <c r="BL397" s="10"/>
    </row>
    <row r="398" spans="5:64" s="8" customFormat="1" x14ac:dyDescent="0.2">
      <c r="E398" s="85"/>
      <c r="AR398" s="10"/>
      <c r="AS398" s="10"/>
      <c r="AT398" s="10"/>
      <c r="AU398" s="10"/>
      <c r="AV398" s="10"/>
      <c r="AW398" s="10"/>
      <c r="AX398" s="10"/>
      <c r="AY398" s="10"/>
      <c r="AZ398" s="10"/>
      <c r="BA398" s="10"/>
      <c r="BB398" s="10"/>
      <c r="BC398" s="10"/>
      <c r="BD398" s="10"/>
      <c r="BE398" s="10"/>
      <c r="BF398" s="10"/>
      <c r="BG398" s="10"/>
      <c r="BH398" s="10"/>
      <c r="BI398" s="10"/>
      <c r="BJ398" s="10"/>
      <c r="BK398" s="10"/>
      <c r="BL398" s="10"/>
    </row>
    <row r="399" spans="5:64" s="8" customFormat="1" x14ac:dyDescent="0.2">
      <c r="E399" s="85"/>
      <c r="AR399" s="10"/>
      <c r="AS399" s="10"/>
      <c r="AT399" s="10"/>
      <c r="AU399" s="10"/>
      <c r="AV399" s="10"/>
      <c r="AW399" s="10"/>
      <c r="AX399" s="10"/>
      <c r="AY399" s="10"/>
      <c r="AZ399" s="10"/>
      <c r="BA399" s="10"/>
      <c r="BB399" s="10"/>
      <c r="BC399" s="10"/>
      <c r="BD399" s="10"/>
      <c r="BE399" s="10"/>
      <c r="BF399" s="10"/>
      <c r="BG399" s="10"/>
      <c r="BH399" s="10"/>
      <c r="BI399" s="10"/>
      <c r="BJ399" s="10"/>
      <c r="BK399" s="10"/>
      <c r="BL399" s="10"/>
    </row>
    <row r="400" spans="5:64" s="8" customFormat="1" x14ac:dyDescent="0.2">
      <c r="E400" s="85"/>
      <c r="AR400" s="10"/>
      <c r="AS400" s="10"/>
      <c r="AT400" s="10"/>
      <c r="AU400" s="10"/>
      <c r="AV400" s="10"/>
      <c r="AW400" s="10"/>
      <c r="AX400" s="10"/>
      <c r="AY400" s="10"/>
      <c r="AZ400" s="10"/>
      <c r="BA400" s="10"/>
      <c r="BB400" s="10"/>
      <c r="BC400" s="10"/>
      <c r="BD400" s="10"/>
      <c r="BE400" s="10"/>
      <c r="BF400" s="10"/>
      <c r="BG400" s="10"/>
      <c r="BH400" s="10"/>
      <c r="BI400" s="10"/>
      <c r="BJ400" s="10"/>
      <c r="BK400" s="10"/>
      <c r="BL400" s="10"/>
    </row>
    <row r="401" spans="5:64" s="8" customFormat="1" x14ac:dyDescent="0.2">
      <c r="E401" s="85"/>
      <c r="AR401" s="10"/>
      <c r="AS401" s="10"/>
      <c r="AT401" s="10"/>
      <c r="AU401" s="10"/>
      <c r="AV401" s="10"/>
      <c r="AW401" s="10"/>
      <c r="AX401" s="10"/>
      <c r="AY401" s="10"/>
      <c r="AZ401" s="10"/>
      <c r="BA401" s="10"/>
      <c r="BB401" s="10"/>
      <c r="BC401" s="10"/>
      <c r="BD401" s="10"/>
      <c r="BE401" s="10"/>
      <c r="BF401" s="10"/>
      <c r="BG401" s="10"/>
      <c r="BH401" s="10"/>
      <c r="BI401" s="10"/>
      <c r="BJ401" s="10"/>
      <c r="BK401" s="10"/>
      <c r="BL401" s="10"/>
    </row>
    <row r="402" spans="5:64" s="8" customFormat="1" x14ac:dyDescent="0.2">
      <c r="E402" s="85"/>
      <c r="AR402" s="10"/>
      <c r="AS402" s="10"/>
      <c r="AT402" s="10"/>
      <c r="AU402" s="10"/>
      <c r="AV402" s="10"/>
      <c r="AW402" s="10"/>
      <c r="AX402" s="10"/>
      <c r="AY402" s="10"/>
      <c r="AZ402" s="10"/>
      <c r="BA402" s="10"/>
      <c r="BB402" s="10"/>
      <c r="BC402" s="10"/>
      <c r="BD402" s="10"/>
      <c r="BE402" s="10"/>
      <c r="BF402" s="10"/>
      <c r="BG402" s="10"/>
      <c r="BH402" s="10"/>
      <c r="BI402" s="10"/>
      <c r="BJ402" s="10"/>
      <c r="BK402" s="10"/>
      <c r="BL402" s="10"/>
    </row>
    <row r="403" spans="5:64" s="8" customFormat="1" x14ac:dyDescent="0.2">
      <c r="E403" s="85"/>
      <c r="AR403" s="10"/>
      <c r="AS403" s="10"/>
      <c r="AT403" s="10"/>
      <c r="AU403" s="10"/>
      <c r="AV403" s="10"/>
      <c r="AW403" s="10"/>
      <c r="AX403" s="10"/>
      <c r="AY403" s="10"/>
      <c r="AZ403" s="10"/>
      <c r="BA403" s="10"/>
      <c r="BB403" s="10"/>
      <c r="BC403" s="10"/>
      <c r="BD403" s="10"/>
      <c r="BE403" s="10"/>
      <c r="BF403" s="10"/>
      <c r="BG403" s="10"/>
      <c r="BH403" s="10"/>
      <c r="BI403" s="10"/>
      <c r="BJ403" s="10"/>
      <c r="BK403" s="10"/>
      <c r="BL403" s="10"/>
    </row>
    <row r="404" spans="5:64" s="8" customFormat="1" x14ac:dyDescent="0.2">
      <c r="E404" s="85"/>
      <c r="AR404" s="10"/>
      <c r="AS404" s="10"/>
      <c r="AT404" s="10"/>
      <c r="AU404" s="10"/>
      <c r="AV404" s="10"/>
      <c r="AW404" s="10"/>
      <c r="AX404" s="10"/>
      <c r="AY404" s="10"/>
      <c r="AZ404" s="10"/>
      <c r="BA404" s="10"/>
      <c r="BB404" s="10"/>
      <c r="BC404" s="10"/>
      <c r="BD404" s="10"/>
      <c r="BE404" s="10"/>
      <c r="BF404" s="10"/>
      <c r="BG404" s="10"/>
      <c r="BH404" s="10"/>
      <c r="BI404" s="10"/>
      <c r="BJ404" s="10"/>
      <c r="BK404" s="10"/>
      <c r="BL404" s="10"/>
    </row>
    <row r="405" spans="5:64" s="8" customFormat="1" x14ac:dyDescent="0.2">
      <c r="E405" s="85"/>
      <c r="AR405" s="10"/>
      <c r="AS405" s="10"/>
      <c r="AT405" s="10"/>
      <c r="AU405" s="10"/>
      <c r="AV405" s="10"/>
      <c r="AW405" s="10"/>
      <c r="AX405" s="10"/>
      <c r="AY405" s="10"/>
      <c r="AZ405" s="10"/>
      <c r="BA405" s="10"/>
      <c r="BB405" s="10"/>
      <c r="BC405" s="10"/>
      <c r="BD405" s="10"/>
      <c r="BE405" s="10"/>
      <c r="BF405" s="10"/>
      <c r="BG405" s="10"/>
      <c r="BH405" s="10"/>
      <c r="BI405" s="10"/>
      <c r="BJ405" s="10"/>
      <c r="BK405" s="10"/>
      <c r="BL405" s="10"/>
    </row>
    <row r="406" spans="5:64" s="8" customFormat="1" x14ac:dyDescent="0.2">
      <c r="E406" s="85"/>
      <c r="AR406" s="10"/>
      <c r="AS406" s="10"/>
      <c r="AT406" s="10"/>
      <c r="AU406" s="10"/>
      <c r="AV406" s="10"/>
      <c r="AW406" s="10"/>
      <c r="AX406" s="10"/>
      <c r="AY406" s="10"/>
      <c r="AZ406" s="10"/>
      <c r="BA406" s="10"/>
      <c r="BB406" s="10"/>
      <c r="BC406" s="10"/>
      <c r="BD406" s="10"/>
      <c r="BE406" s="10"/>
      <c r="BF406" s="10"/>
      <c r="BG406" s="10"/>
      <c r="BH406" s="10"/>
      <c r="BI406" s="10"/>
      <c r="BJ406" s="10"/>
      <c r="BK406" s="10"/>
      <c r="BL406" s="10"/>
    </row>
    <row r="407" spans="5:64" s="8" customFormat="1" x14ac:dyDescent="0.2">
      <c r="E407" s="85"/>
      <c r="AR407" s="10"/>
      <c r="AS407" s="10"/>
      <c r="AT407" s="10"/>
      <c r="AU407" s="10"/>
      <c r="AV407" s="10"/>
      <c r="AW407" s="10"/>
      <c r="AX407" s="10"/>
      <c r="AY407" s="10"/>
      <c r="AZ407" s="10"/>
      <c r="BA407" s="10"/>
      <c r="BB407" s="10"/>
      <c r="BC407" s="10"/>
      <c r="BD407" s="10"/>
      <c r="BE407" s="10"/>
      <c r="BF407" s="10"/>
      <c r="BG407" s="10"/>
      <c r="BH407" s="10"/>
      <c r="BI407" s="10"/>
      <c r="BJ407" s="10"/>
      <c r="BK407" s="10"/>
      <c r="BL407" s="10"/>
    </row>
    <row r="408" spans="5:64" s="8" customFormat="1" x14ac:dyDescent="0.2">
      <c r="E408" s="85"/>
      <c r="AR408" s="10"/>
      <c r="AS408" s="10"/>
      <c r="AT408" s="10"/>
      <c r="AU408" s="10"/>
      <c r="AV408" s="10"/>
      <c r="AW408" s="10"/>
      <c r="AX408" s="10"/>
      <c r="AY408" s="10"/>
      <c r="AZ408" s="10"/>
      <c r="BA408" s="10"/>
      <c r="BB408" s="10"/>
      <c r="BC408" s="10"/>
      <c r="BD408" s="10"/>
      <c r="BE408" s="10"/>
      <c r="BF408" s="10"/>
      <c r="BG408" s="10"/>
      <c r="BH408" s="10"/>
      <c r="BI408" s="10"/>
      <c r="BJ408" s="10"/>
      <c r="BK408" s="10"/>
      <c r="BL408" s="10"/>
    </row>
    <row r="409" spans="5:64" s="8" customFormat="1" x14ac:dyDescent="0.2">
      <c r="E409" s="85"/>
      <c r="AR409" s="10"/>
      <c r="AS409" s="10"/>
      <c r="AT409" s="10"/>
      <c r="AU409" s="10"/>
      <c r="AV409" s="10"/>
      <c r="AW409" s="10"/>
      <c r="AX409" s="10"/>
      <c r="AY409" s="10"/>
      <c r="AZ409" s="10"/>
      <c r="BA409" s="10"/>
      <c r="BB409" s="10"/>
      <c r="BC409" s="10"/>
      <c r="BD409" s="10"/>
      <c r="BE409" s="10"/>
      <c r="BF409" s="10"/>
      <c r="BG409" s="10"/>
      <c r="BH409" s="10"/>
      <c r="BI409" s="10"/>
      <c r="BJ409" s="10"/>
      <c r="BK409" s="10"/>
      <c r="BL409" s="10"/>
    </row>
    <row r="410" spans="5:64" s="8" customFormat="1" x14ac:dyDescent="0.2">
      <c r="E410" s="85"/>
      <c r="AR410" s="10"/>
      <c r="AS410" s="10"/>
      <c r="AT410" s="10"/>
      <c r="AU410" s="10"/>
      <c r="AV410" s="10"/>
      <c r="AW410" s="10"/>
      <c r="AX410" s="10"/>
      <c r="AY410" s="10"/>
      <c r="AZ410" s="10"/>
      <c r="BA410" s="10"/>
      <c r="BB410" s="10"/>
      <c r="BC410" s="10"/>
      <c r="BD410" s="10"/>
      <c r="BE410" s="10"/>
      <c r="BF410" s="10"/>
      <c r="BG410" s="10"/>
      <c r="BH410" s="10"/>
      <c r="BI410" s="10"/>
      <c r="BJ410" s="10"/>
      <c r="BK410" s="10"/>
      <c r="BL410" s="10"/>
    </row>
    <row r="411" spans="5:64" s="8" customFormat="1" x14ac:dyDescent="0.2">
      <c r="E411" s="85"/>
      <c r="AR411" s="10"/>
      <c r="AS411" s="10"/>
      <c r="AT411" s="10"/>
      <c r="AU411" s="10"/>
      <c r="AV411" s="10"/>
      <c r="AW411" s="10"/>
      <c r="AX411" s="10"/>
      <c r="AY411" s="10"/>
      <c r="AZ411" s="10"/>
      <c r="BA411" s="10"/>
      <c r="BB411" s="10"/>
      <c r="BC411" s="10"/>
      <c r="BD411" s="10"/>
      <c r="BE411" s="10"/>
      <c r="BF411" s="10"/>
      <c r="BG411" s="10"/>
      <c r="BH411" s="10"/>
      <c r="BI411" s="10"/>
      <c r="BJ411" s="10"/>
      <c r="BK411" s="10"/>
      <c r="BL411" s="10"/>
    </row>
    <row r="412" spans="5:64" s="8" customFormat="1" x14ac:dyDescent="0.2">
      <c r="E412" s="85"/>
      <c r="AR412" s="10"/>
      <c r="AS412" s="10"/>
      <c r="AT412" s="10"/>
      <c r="AU412" s="10"/>
      <c r="AV412" s="10"/>
      <c r="AW412" s="10"/>
      <c r="AX412" s="10"/>
      <c r="AY412" s="10"/>
      <c r="AZ412" s="10"/>
      <c r="BA412" s="10"/>
      <c r="BB412" s="10"/>
      <c r="BC412" s="10"/>
      <c r="BD412" s="10"/>
      <c r="BE412" s="10"/>
      <c r="BF412" s="10"/>
      <c r="BG412" s="10"/>
      <c r="BH412" s="10"/>
      <c r="BI412" s="10"/>
      <c r="BJ412" s="10"/>
      <c r="BK412" s="10"/>
      <c r="BL412" s="10"/>
    </row>
    <row r="413" spans="5:64" s="8" customFormat="1" x14ac:dyDescent="0.2">
      <c r="E413" s="85"/>
      <c r="AR413" s="10"/>
      <c r="AS413" s="10"/>
      <c r="AT413" s="10"/>
      <c r="AU413" s="10"/>
      <c r="AV413" s="10"/>
      <c r="AW413" s="10"/>
      <c r="AX413" s="10"/>
      <c r="AY413" s="10"/>
      <c r="AZ413" s="10"/>
      <c r="BA413" s="10"/>
      <c r="BB413" s="10"/>
      <c r="BC413" s="10"/>
      <c r="BD413" s="10"/>
      <c r="BE413" s="10"/>
      <c r="BF413" s="10"/>
      <c r="BG413" s="10"/>
      <c r="BH413" s="10"/>
      <c r="BI413" s="10"/>
      <c r="BJ413" s="10"/>
      <c r="BK413" s="10"/>
      <c r="BL413" s="10"/>
    </row>
    <row r="414" spans="5:64" s="8" customFormat="1" x14ac:dyDescent="0.2">
      <c r="E414" s="85"/>
      <c r="AR414" s="10"/>
      <c r="AS414" s="10"/>
      <c r="AT414" s="10"/>
      <c r="AU414" s="10"/>
      <c r="AV414" s="10"/>
      <c r="AW414" s="10"/>
      <c r="AX414" s="10"/>
      <c r="AY414" s="10"/>
      <c r="AZ414" s="10"/>
      <c r="BA414" s="10"/>
      <c r="BB414" s="10"/>
      <c r="BC414" s="10"/>
      <c r="BD414" s="10"/>
      <c r="BE414" s="10"/>
      <c r="BF414" s="10"/>
      <c r="BG414" s="10"/>
      <c r="BH414" s="10"/>
      <c r="BI414" s="10"/>
      <c r="BJ414" s="10"/>
      <c r="BK414" s="10"/>
      <c r="BL414" s="10"/>
    </row>
    <row r="415" spans="5:64" s="8" customFormat="1" x14ac:dyDescent="0.2">
      <c r="E415" s="85"/>
      <c r="AR415" s="10"/>
      <c r="AS415" s="10"/>
      <c r="AT415" s="10"/>
      <c r="AU415" s="10"/>
      <c r="AV415" s="10"/>
      <c r="AW415" s="10"/>
      <c r="AX415" s="10"/>
      <c r="AY415" s="10"/>
      <c r="AZ415" s="10"/>
      <c r="BA415" s="10"/>
      <c r="BB415" s="10"/>
      <c r="BC415" s="10"/>
      <c r="BD415" s="10"/>
      <c r="BE415" s="10"/>
      <c r="BF415" s="10"/>
      <c r="BG415" s="10"/>
      <c r="BH415" s="10"/>
      <c r="BI415" s="10"/>
      <c r="BJ415" s="10"/>
      <c r="BK415" s="10"/>
      <c r="BL415" s="10"/>
    </row>
    <row r="416" spans="5:64" s="8" customFormat="1" x14ac:dyDescent="0.2">
      <c r="E416" s="85"/>
      <c r="AR416" s="10"/>
      <c r="AS416" s="10"/>
      <c r="AT416" s="10"/>
      <c r="AU416" s="10"/>
      <c r="AV416" s="10"/>
      <c r="AW416" s="10"/>
      <c r="AX416" s="10"/>
      <c r="AY416" s="10"/>
      <c r="AZ416" s="10"/>
      <c r="BA416" s="10"/>
      <c r="BB416" s="10"/>
      <c r="BC416" s="10"/>
      <c r="BD416" s="10"/>
      <c r="BE416" s="10"/>
      <c r="BF416" s="10"/>
      <c r="BG416" s="10"/>
      <c r="BH416" s="10"/>
      <c r="BI416" s="10"/>
      <c r="BJ416" s="10"/>
      <c r="BK416" s="10"/>
      <c r="BL416" s="10"/>
    </row>
    <row r="417" spans="5:64" s="8" customFormat="1" x14ac:dyDescent="0.2">
      <c r="E417" s="85"/>
      <c r="AR417" s="10"/>
      <c r="AS417" s="10"/>
      <c r="AT417" s="10"/>
      <c r="AU417" s="10"/>
      <c r="AV417" s="10"/>
      <c r="AW417" s="10"/>
      <c r="AX417" s="10"/>
      <c r="AY417" s="10"/>
      <c r="AZ417" s="10"/>
      <c r="BA417" s="10"/>
      <c r="BB417" s="10"/>
      <c r="BC417" s="10"/>
      <c r="BD417" s="10"/>
      <c r="BE417" s="10"/>
      <c r="BF417" s="10"/>
      <c r="BG417" s="10"/>
      <c r="BH417" s="10"/>
      <c r="BI417" s="10"/>
      <c r="BJ417" s="10"/>
      <c r="BK417" s="10"/>
      <c r="BL417" s="10"/>
    </row>
    <row r="418" spans="5:64" s="8" customFormat="1" x14ac:dyDescent="0.2">
      <c r="E418" s="85"/>
      <c r="AR418" s="10"/>
      <c r="AS418" s="10"/>
      <c r="AT418" s="10"/>
      <c r="AU418" s="10"/>
      <c r="AV418" s="10"/>
      <c r="AW418" s="10"/>
      <c r="AX418" s="10"/>
      <c r="AY418" s="10"/>
      <c r="AZ418" s="10"/>
      <c r="BA418" s="10"/>
      <c r="BB418" s="10"/>
      <c r="BC418" s="10"/>
      <c r="BD418" s="10"/>
      <c r="BE418" s="10"/>
      <c r="BF418" s="10"/>
      <c r="BG418" s="10"/>
      <c r="BH418" s="10"/>
      <c r="BI418" s="10"/>
      <c r="BJ418" s="10"/>
      <c r="BK418" s="10"/>
      <c r="BL418" s="10"/>
    </row>
    <row r="419" spans="5:64" s="8" customFormat="1" x14ac:dyDescent="0.2">
      <c r="E419" s="85"/>
      <c r="AR419" s="10"/>
      <c r="AS419" s="10"/>
      <c r="AT419" s="10"/>
      <c r="AU419" s="10"/>
      <c r="AV419" s="10"/>
      <c r="AW419" s="10"/>
      <c r="AX419" s="10"/>
      <c r="AY419" s="10"/>
      <c r="AZ419" s="10"/>
      <c r="BA419" s="10"/>
      <c r="BB419" s="10"/>
      <c r="BC419" s="10"/>
      <c r="BD419" s="10"/>
      <c r="BE419" s="10"/>
      <c r="BF419" s="10"/>
      <c r="BG419" s="10"/>
      <c r="BH419" s="10"/>
      <c r="BI419" s="10"/>
      <c r="BJ419" s="10"/>
      <c r="BK419" s="10"/>
      <c r="BL419" s="10"/>
    </row>
    <row r="420" spans="5:64" s="8" customFormat="1" x14ac:dyDescent="0.2">
      <c r="E420" s="85"/>
      <c r="AR420" s="10"/>
      <c r="AS420" s="10"/>
      <c r="AT420" s="10"/>
      <c r="AU420" s="10"/>
      <c r="AV420" s="10"/>
      <c r="AW420" s="10"/>
      <c r="AX420" s="10"/>
      <c r="AY420" s="10"/>
      <c r="AZ420" s="10"/>
      <c r="BA420" s="10"/>
      <c r="BB420" s="10"/>
      <c r="BC420" s="10"/>
      <c r="BD420" s="10"/>
      <c r="BE420" s="10"/>
      <c r="BF420" s="10"/>
      <c r="BG420" s="10"/>
      <c r="BH420" s="10"/>
      <c r="BI420" s="10"/>
      <c r="BJ420" s="10"/>
      <c r="BK420" s="10"/>
      <c r="BL420" s="10"/>
    </row>
    <row r="421" spans="5:64" s="8" customFormat="1" x14ac:dyDescent="0.2">
      <c r="E421" s="85"/>
      <c r="AR421" s="10"/>
      <c r="AS421" s="10"/>
      <c r="AT421" s="10"/>
      <c r="AU421" s="10"/>
      <c r="AV421" s="10"/>
      <c r="AW421" s="10"/>
      <c r="AX421" s="10"/>
      <c r="AY421" s="10"/>
      <c r="AZ421" s="10"/>
      <c r="BA421" s="10"/>
      <c r="BB421" s="10"/>
      <c r="BC421" s="10"/>
      <c r="BD421" s="10"/>
      <c r="BE421" s="10"/>
      <c r="BF421" s="10"/>
      <c r="BG421" s="10"/>
      <c r="BH421" s="10"/>
      <c r="BI421" s="10"/>
      <c r="BJ421" s="10"/>
      <c r="BK421" s="10"/>
      <c r="BL421" s="10"/>
    </row>
    <row r="422" spans="5:64" s="8" customFormat="1" x14ac:dyDescent="0.2">
      <c r="E422" s="85"/>
      <c r="AR422" s="10"/>
      <c r="AS422" s="10"/>
      <c r="AT422" s="10"/>
      <c r="AU422" s="10"/>
      <c r="AV422" s="10"/>
      <c r="AW422" s="10"/>
      <c r="AX422" s="10"/>
      <c r="AY422" s="10"/>
      <c r="AZ422" s="10"/>
      <c r="BA422" s="10"/>
      <c r="BB422" s="10"/>
      <c r="BC422" s="10"/>
      <c r="BD422" s="10"/>
      <c r="BE422" s="10"/>
      <c r="BF422" s="10"/>
      <c r="BG422" s="10"/>
      <c r="BH422" s="10"/>
      <c r="BI422" s="10"/>
      <c r="BJ422" s="10"/>
      <c r="BK422" s="10"/>
      <c r="BL422" s="10"/>
    </row>
    <row r="423" spans="5:64" s="8" customFormat="1" x14ac:dyDescent="0.2">
      <c r="E423" s="85"/>
      <c r="AR423" s="10"/>
      <c r="AS423" s="10"/>
      <c r="AT423" s="10"/>
      <c r="AU423" s="10"/>
      <c r="AV423" s="10"/>
      <c r="AW423" s="10"/>
      <c r="AX423" s="10"/>
      <c r="AY423" s="10"/>
      <c r="AZ423" s="10"/>
      <c r="BA423" s="10"/>
      <c r="BB423" s="10"/>
      <c r="BC423" s="10"/>
      <c r="BD423" s="10"/>
      <c r="BE423" s="10"/>
      <c r="BF423" s="10"/>
      <c r="BG423" s="10"/>
      <c r="BH423" s="10"/>
      <c r="BI423" s="10"/>
      <c r="BJ423" s="10"/>
      <c r="BK423" s="10"/>
      <c r="BL423" s="10"/>
    </row>
    <row r="424" spans="5:64" s="8" customFormat="1" x14ac:dyDescent="0.2">
      <c r="E424" s="85"/>
      <c r="AR424" s="10"/>
      <c r="AS424" s="10"/>
      <c r="AT424" s="10"/>
      <c r="AU424" s="10"/>
      <c r="AV424" s="10"/>
      <c r="AW424" s="10"/>
      <c r="AX424" s="10"/>
      <c r="AY424" s="10"/>
      <c r="AZ424" s="10"/>
      <c r="BA424" s="10"/>
      <c r="BB424" s="10"/>
      <c r="BC424" s="10"/>
      <c r="BD424" s="10"/>
      <c r="BE424" s="10"/>
      <c r="BF424" s="10"/>
      <c r="BG424" s="10"/>
      <c r="BH424" s="10"/>
      <c r="BI424" s="10"/>
      <c r="BJ424" s="10"/>
      <c r="BK424" s="10"/>
      <c r="BL424" s="10"/>
    </row>
    <row r="425" spans="5:64" s="8" customFormat="1" x14ac:dyDescent="0.2">
      <c r="E425" s="85"/>
      <c r="AR425" s="10"/>
      <c r="AS425" s="10"/>
      <c r="AT425" s="10"/>
      <c r="AU425" s="10"/>
      <c r="AV425" s="10"/>
      <c r="AW425" s="10"/>
      <c r="AX425" s="10"/>
      <c r="AY425" s="10"/>
      <c r="AZ425" s="10"/>
      <c r="BA425" s="10"/>
      <c r="BB425" s="10"/>
      <c r="BC425" s="10"/>
      <c r="BD425" s="10"/>
      <c r="BE425" s="10"/>
      <c r="BF425" s="10"/>
      <c r="BG425" s="10"/>
      <c r="BH425" s="10"/>
      <c r="BI425" s="10"/>
      <c r="BJ425" s="10"/>
      <c r="BK425" s="10"/>
      <c r="BL425" s="10"/>
    </row>
    <row r="426" spans="5:64" s="8" customFormat="1" x14ac:dyDescent="0.2">
      <c r="E426" s="85"/>
      <c r="AR426" s="10"/>
      <c r="AS426" s="10"/>
      <c r="AT426" s="10"/>
      <c r="AU426" s="10"/>
      <c r="AV426" s="10"/>
      <c r="AW426" s="10"/>
      <c r="AX426" s="10"/>
      <c r="AY426" s="10"/>
      <c r="AZ426" s="10"/>
      <c r="BA426" s="10"/>
      <c r="BB426" s="10"/>
      <c r="BC426" s="10"/>
      <c r="BD426" s="10"/>
      <c r="BE426" s="10"/>
      <c r="BF426" s="10"/>
      <c r="BG426" s="10"/>
      <c r="BH426" s="10"/>
      <c r="BI426" s="10"/>
      <c r="BJ426" s="10"/>
      <c r="BK426" s="10"/>
      <c r="BL426" s="10"/>
    </row>
    <row r="427" spans="5:64" s="8" customFormat="1" x14ac:dyDescent="0.2">
      <c r="E427" s="85"/>
      <c r="AR427" s="10"/>
      <c r="AS427" s="10"/>
      <c r="AT427" s="10"/>
      <c r="AU427" s="10"/>
      <c r="AV427" s="10"/>
      <c r="AW427" s="10"/>
      <c r="AX427" s="10"/>
      <c r="AY427" s="10"/>
      <c r="AZ427" s="10"/>
      <c r="BA427" s="10"/>
      <c r="BB427" s="10"/>
      <c r="BC427" s="10"/>
      <c r="BD427" s="10"/>
      <c r="BE427" s="10"/>
      <c r="BF427" s="10"/>
      <c r="BG427" s="10"/>
      <c r="BH427" s="10"/>
      <c r="BI427" s="10"/>
      <c r="BJ427" s="10"/>
      <c r="BK427" s="10"/>
      <c r="BL427" s="10"/>
    </row>
    <row r="428" spans="5:64" s="8" customFormat="1" x14ac:dyDescent="0.2">
      <c r="E428" s="85"/>
      <c r="AR428" s="10"/>
      <c r="AS428" s="10"/>
      <c r="AT428" s="10"/>
      <c r="AU428" s="10"/>
      <c r="AV428" s="10"/>
      <c r="AW428" s="10"/>
      <c r="AX428" s="10"/>
      <c r="AY428" s="10"/>
      <c r="AZ428" s="10"/>
      <c r="BA428" s="10"/>
      <c r="BB428" s="10"/>
      <c r="BC428" s="10"/>
      <c r="BD428" s="10"/>
      <c r="BE428" s="10"/>
      <c r="BF428" s="10"/>
      <c r="BG428" s="10"/>
      <c r="BH428" s="10"/>
      <c r="BI428" s="10"/>
      <c r="BJ428" s="10"/>
      <c r="BK428" s="10"/>
      <c r="BL428" s="10"/>
    </row>
    <row r="429" spans="5:64" s="8" customFormat="1" x14ac:dyDescent="0.2">
      <c r="E429" s="85"/>
      <c r="AR429" s="10"/>
      <c r="AS429" s="10"/>
      <c r="AT429" s="10"/>
      <c r="AU429" s="10"/>
      <c r="AV429" s="10"/>
      <c r="AW429" s="10"/>
      <c r="AX429" s="10"/>
      <c r="AY429" s="10"/>
      <c r="AZ429" s="10"/>
      <c r="BA429" s="10"/>
      <c r="BB429" s="10"/>
      <c r="BC429" s="10"/>
      <c r="BD429" s="10"/>
      <c r="BE429" s="10"/>
      <c r="BF429" s="10"/>
      <c r="BG429" s="10"/>
      <c r="BH429" s="10"/>
      <c r="BI429" s="10"/>
      <c r="BJ429" s="10"/>
      <c r="BK429" s="10"/>
      <c r="BL429" s="10"/>
    </row>
    <row r="430" spans="5:64" s="8" customFormat="1" x14ac:dyDescent="0.2">
      <c r="E430" s="85"/>
      <c r="AR430" s="10"/>
      <c r="AS430" s="10"/>
      <c r="AT430" s="10"/>
      <c r="AU430" s="10"/>
      <c r="AV430" s="10"/>
      <c r="AW430" s="10"/>
      <c r="AX430" s="10"/>
      <c r="AY430" s="10"/>
      <c r="AZ430" s="10"/>
      <c r="BA430" s="10"/>
      <c r="BB430" s="10"/>
      <c r="BC430" s="10"/>
      <c r="BD430" s="10"/>
      <c r="BE430" s="10"/>
      <c r="BF430" s="10"/>
      <c r="BG430" s="10"/>
      <c r="BH430" s="10"/>
      <c r="BI430" s="10"/>
      <c r="BJ430" s="10"/>
      <c r="BK430" s="10"/>
      <c r="BL430" s="10"/>
    </row>
    <row r="431" spans="5:64" s="8" customFormat="1" x14ac:dyDescent="0.2">
      <c r="E431" s="85"/>
      <c r="AR431" s="10"/>
      <c r="AS431" s="10"/>
      <c r="AT431" s="10"/>
      <c r="AU431" s="10"/>
      <c r="AV431" s="10"/>
      <c r="AW431" s="10"/>
      <c r="AX431" s="10"/>
      <c r="AY431" s="10"/>
      <c r="AZ431" s="10"/>
      <c r="BA431" s="10"/>
      <c r="BB431" s="10"/>
      <c r="BC431" s="10"/>
      <c r="BD431" s="10"/>
      <c r="BE431" s="10"/>
      <c r="BF431" s="10"/>
      <c r="BG431" s="10"/>
      <c r="BH431" s="10"/>
      <c r="BI431" s="10"/>
      <c r="BJ431" s="10"/>
      <c r="BK431" s="10"/>
      <c r="BL431" s="10"/>
    </row>
    <row r="432" spans="5:64" s="8" customFormat="1" x14ac:dyDescent="0.2">
      <c r="E432" s="85"/>
      <c r="AR432" s="10"/>
      <c r="AS432" s="10"/>
      <c r="AT432" s="10"/>
      <c r="AU432" s="10"/>
      <c r="AV432" s="10"/>
      <c r="AW432" s="10"/>
      <c r="AX432" s="10"/>
      <c r="AY432" s="10"/>
      <c r="AZ432" s="10"/>
      <c r="BA432" s="10"/>
      <c r="BB432" s="10"/>
      <c r="BC432" s="10"/>
      <c r="BD432" s="10"/>
      <c r="BE432" s="10"/>
      <c r="BF432" s="10"/>
      <c r="BG432" s="10"/>
      <c r="BH432" s="10"/>
      <c r="BI432" s="10"/>
      <c r="BJ432" s="10"/>
      <c r="BK432" s="10"/>
      <c r="BL432" s="10"/>
    </row>
    <row r="433" spans="5:64" s="8" customFormat="1" x14ac:dyDescent="0.2">
      <c r="E433" s="85"/>
      <c r="AR433" s="10"/>
      <c r="AS433" s="10"/>
      <c r="AT433" s="10"/>
      <c r="AU433" s="10"/>
      <c r="AV433" s="10"/>
      <c r="AW433" s="10"/>
      <c r="AX433" s="10"/>
      <c r="AY433" s="10"/>
      <c r="AZ433" s="10"/>
      <c r="BA433" s="10"/>
      <c r="BB433" s="10"/>
      <c r="BC433" s="10"/>
      <c r="BD433" s="10"/>
      <c r="BE433" s="10"/>
      <c r="BF433" s="10"/>
      <c r="BG433" s="10"/>
      <c r="BH433" s="10"/>
      <c r="BI433" s="10"/>
      <c r="BJ433" s="10"/>
      <c r="BK433" s="10"/>
      <c r="BL433" s="10"/>
    </row>
    <row r="434" spans="5:64" s="8" customFormat="1" x14ac:dyDescent="0.2">
      <c r="E434" s="85"/>
      <c r="AR434" s="10"/>
      <c r="AS434" s="10"/>
      <c r="AT434" s="10"/>
      <c r="AU434" s="10"/>
      <c r="AV434" s="10"/>
      <c r="AW434" s="10"/>
      <c r="AX434" s="10"/>
      <c r="AY434" s="10"/>
      <c r="AZ434" s="10"/>
      <c r="BA434" s="10"/>
      <c r="BB434" s="10"/>
      <c r="BC434" s="10"/>
      <c r="BD434" s="10"/>
      <c r="BE434" s="10"/>
      <c r="BF434" s="10"/>
      <c r="BG434" s="10"/>
      <c r="BH434" s="10"/>
      <c r="BI434" s="10"/>
      <c r="BJ434" s="10"/>
      <c r="BK434" s="10"/>
      <c r="BL434" s="10"/>
    </row>
    <row r="435" spans="5:64" s="8" customFormat="1" x14ac:dyDescent="0.2">
      <c r="E435" s="85"/>
      <c r="AR435" s="10"/>
      <c r="AS435" s="10"/>
      <c r="AT435" s="10"/>
      <c r="AU435" s="10"/>
      <c r="AV435" s="10"/>
      <c r="AW435" s="10"/>
      <c r="AX435" s="10"/>
      <c r="AY435" s="10"/>
      <c r="AZ435" s="10"/>
      <c r="BA435" s="10"/>
      <c r="BB435" s="10"/>
      <c r="BC435" s="10"/>
      <c r="BD435" s="10"/>
      <c r="BE435" s="10"/>
      <c r="BF435" s="10"/>
      <c r="BG435" s="10"/>
      <c r="BH435" s="10"/>
      <c r="BI435" s="10"/>
      <c r="BJ435" s="10"/>
      <c r="BK435" s="10"/>
      <c r="BL435" s="10"/>
    </row>
    <row r="436" spans="5:64" s="8" customFormat="1" x14ac:dyDescent="0.2">
      <c r="E436" s="85"/>
      <c r="AR436" s="10"/>
      <c r="AS436" s="10"/>
      <c r="AT436" s="10"/>
      <c r="AU436" s="10"/>
      <c r="AV436" s="10"/>
      <c r="AW436" s="10"/>
      <c r="AX436" s="10"/>
      <c r="AY436" s="10"/>
      <c r="AZ436" s="10"/>
      <c r="BA436" s="10"/>
      <c r="BB436" s="10"/>
      <c r="BC436" s="10"/>
      <c r="BD436" s="10"/>
      <c r="BE436" s="10"/>
      <c r="BF436" s="10"/>
      <c r="BG436" s="10"/>
      <c r="BH436" s="10"/>
      <c r="BI436" s="10"/>
      <c r="BJ436" s="10"/>
      <c r="BK436" s="10"/>
      <c r="BL436" s="10"/>
    </row>
    <row r="437" spans="5:64" s="8" customFormat="1" x14ac:dyDescent="0.2">
      <c r="E437" s="85"/>
      <c r="AR437" s="10"/>
      <c r="AS437" s="10"/>
      <c r="AT437" s="10"/>
      <c r="AU437" s="10"/>
      <c r="AV437" s="10"/>
      <c r="AW437" s="10"/>
      <c r="AX437" s="10"/>
      <c r="AY437" s="10"/>
      <c r="AZ437" s="10"/>
      <c r="BA437" s="10"/>
      <c r="BB437" s="10"/>
      <c r="BC437" s="10"/>
      <c r="BD437" s="10"/>
      <c r="BE437" s="10"/>
      <c r="BF437" s="10"/>
      <c r="BG437" s="10"/>
      <c r="BH437" s="10"/>
      <c r="BI437" s="10"/>
      <c r="BJ437" s="10"/>
      <c r="BK437" s="10"/>
      <c r="BL437" s="10"/>
    </row>
    <row r="438" spans="5:64" s="8" customFormat="1" x14ac:dyDescent="0.2">
      <c r="E438" s="85"/>
      <c r="AR438" s="10"/>
      <c r="AS438" s="10"/>
      <c r="AT438" s="10"/>
      <c r="AU438" s="10"/>
      <c r="AV438" s="10"/>
      <c r="AW438" s="10"/>
      <c r="AX438" s="10"/>
      <c r="AY438" s="10"/>
      <c r="AZ438" s="10"/>
      <c r="BA438" s="10"/>
      <c r="BB438" s="10"/>
      <c r="BC438" s="10"/>
      <c r="BD438" s="10"/>
      <c r="BE438" s="10"/>
      <c r="BF438" s="10"/>
      <c r="BG438" s="10"/>
      <c r="BH438" s="10"/>
      <c r="BI438" s="10"/>
      <c r="BJ438" s="10"/>
      <c r="BK438" s="10"/>
      <c r="BL438" s="10"/>
    </row>
    <row r="439" spans="5:64" s="8" customFormat="1" x14ac:dyDescent="0.2">
      <c r="E439" s="85"/>
      <c r="AR439" s="10"/>
      <c r="AS439" s="10"/>
      <c r="AT439" s="10"/>
      <c r="AU439" s="10"/>
      <c r="AV439" s="10"/>
      <c r="AW439" s="10"/>
      <c r="AX439" s="10"/>
      <c r="AY439" s="10"/>
      <c r="AZ439" s="10"/>
      <c r="BA439" s="10"/>
      <c r="BB439" s="10"/>
      <c r="BC439" s="10"/>
      <c r="BD439" s="10"/>
      <c r="BE439" s="10"/>
      <c r="BF439" s="10"/>
      <c r="BG439" s="10"/>
      <c r="BH439" s="10"/>
      <c r="BI439" s="10"/>
      <c r="BJ439" s="10"/>
      <c r="BK439" s="10"/>
      <c r="BL439" s="10"/>
    </row>
    <row r="440" spans="5:64" s="8" customFormat="1" x14ac:dyDescent="0.2">
      <c r="E440" s="85"/>
      <c r="AR440" s="10"/>
      <c r="AS440" s="10"/>
      <c r="AT440" s="10"/>
      <c r="AU440" s="10"/>
      <c r="AV440" s="10"/>
      <c r="AW440" s="10"/>
      <c r="AX440" s="10"/>
      <c r="AY440" s="10"/>
      <c r="AZ440" s="10"/>
      <c r="BA440" s="10"/>
      <c r="BB440" s="10"/>
      <c r="BC440" s="10"/>
      <c r="BD440" s="10"/>
      <c r="BE440" s="10"/>
      <c r="BF440" s="10"/>
      <c r="BG440" s="10"/>
      <c r="BH440" s="10"/>
      <c r="BI440" s="10"/>
      <c r="BJ440" s="10"/>
      <c r="BK440" s="10"/>
      <c r="BL440" s="10"/>
    </row>
    <row r="441" spans="5:64" s="8" customFormat="1" x14ac:dyDescent="0.2">
      <c r="E441" s="85"/>
      <c r="AR441" s="10"/>
      <c r="AS441" s="10"/>
      <c r="AT441" s="10"/>
      <c r="AU441" s="10"/>
      <c r="AV441" s="10"/>
      <c r="AW441" s="10"/>
      <c r="AX441" s="10"/>
      <c r="AY441" s="10"/>
      <c r="AZ441" s="10"/>
      <c r="BA441" s="10"/>
      <c r="BB441" s="10"/>
      <c r="BC441" s="10"/>
      <c r="BD441" s="10"/>
      <c r="BE441" s="10"/>
      <c r="BF441" s="10"/>
      <c r="BG441" s="10"/>
      <c r="BH441" s="10"/>
      <c r="BI441" s="10"/>
      <c r="BJ441" s="10"/>
      <c r="BK441" s="10"/>
      <c r="BL441" s="10"/>
    </row>
    <row r="442" spans="5:64" s="8" customFormat="1" x14ac:dyDescent="0.2">
      <c r="E442" s="85"/>
      <c r="AR442" s="10"/>
      <c r="AS442" s="10"/>
      <c r="AT442" s="10"/>
      <c r="AU442" s="10"/>
      <c r="AV442" s="10"/>
      <c r="AW442" s="10"/>
      <c r="AX442" s="10"/>
      <c r="AY442" s="10"/>
      <c r="AZ442" s="10"/>
      <c r="BA442" s="10"/>
      <c r="BB442" s="10"/>
      <c r="BC442" s="10"/>
      <c r="BD442" s="10"/>
      <c r="BE442" s="10"/>
      <c r="BF442" s="10"/>
      <c r="BG442" s="10"/>
      <c r="BH442" s="10"/>
      <c r="BI442" s="10"/>
      <c r="BJ442" s="10"/>
      <c r="BK442" s="10"/>
      <c r="BL442" s="10"/>
    </row>
    <row r="443" spans="5:64" s="8" customFormat="1" x14ac:dyDescent="0.2">
      <c r="E443" s="85"/>
      <c r="AR443" s="10"/>
      <c r="AS443" s="10"/>
      <c r="AT443" s="10"/>
      <c r="AU443" s="10"/>
      <c r="AV443" s="10"/>
      <c r="AW443" s="10"/>
      <c r="AX443" s="10"/>
      <c r="AY443" s="10"/>
      <c r="AZ443" s="10"/>
      <c r="BA443" s="10"/>
      <c r="BB443" s="10"/>
      <c r="BC443" s="10"/>
      <c r="BD443" s="10"/>
      <c r="BE443" s="10"/>
      <c r="BF443" s="10"/>
      <c r="BG443" s="10"/>
      <c r="BH443" s="10"/>
      <c r="BI443" s="10"/>
      <c r="BJ443" s="10"/>
      <c r="BK443" s="10"/>
      <c r="BL443" s="10"/>
    </row>
    <row r="444" spans="5:64" s="8" customFormat="1" x14ac:dyDescent="0.2">
      <c r="E444" s="85"/>
      <c r="AR444" s="10"/>
      <c r="AS444" s="10"/>
      <c r="AT444" s="10"/>
      <c r="AU444" s="10"/>
      <c r="AV444" s="10"/>
      <c r="AW444" s="10"/>
      <c r="AX444" s="10"/>
      <c r="AY444" s="10"/>
      <c r="AZ444" s="10"/>
      <c r="BA444" s="10"/>
      <c r="BB444" s="10"/>
      <c r="BC444" s="10"/>
      <c r="BD444" s="10"/>
      <c r="BE444" s="10"/>
      <c r="BF444" s="10"/>
      <c r="BG444" s="10"/>
      <c r="BH444" s="10"/>
      <c r="BI444" s="10"/>
      <c r="BJ444" s="10"/>
      <c r="BK444" s="10"/>
      <c r="BL444" s="10"/>
    </row>
    <row r="445" spans="5:64" s="8" customFormat="1" x14ac:dyDescent="0.2">
      <c r="E445" s="85"/>
      <c r="AR445" s="10"/>
      <c r="AS445" s="10"/>
      <c r="AT445" s="10"/>
      <c r="AU445" s="10"/>
      <c r="AV445" s="10"/>
      <c r="AW445" s="10"/>
      <c r="AX445" s="10"/>
      <c r="AY445" s="10"/>
      <c r="AZ445" s="10"/>
      <c r="BA445" s="10"/>
      <c r="BB445" s="10"/>
      <c r="BC445" s="10"/>
      <c r="BD445" s="10"/>
      <c r="BE445" s="10"/>
      <c r="BF445" s="10"/>
      <c r="BG445" s="10"/>
      <c r="BH445" s="10"/>
      <c r="BI445" s="10"/>
      <c r="BJ445" s="10"/>
      <c r="BK445" s="10"/>
      <c r="BL445" s="10"/>
    </row>
    <row r="446" spans="5:64" s="8" customFormat="1" x14ac:dyDescent="0.2">
      <c r="E446" s="85"/>
      <c r="AR446" s="10"/>
      <c r="AS446" s="10"/>
      <c r="AT446" s="10"/>
      <c r="AU446" s="10"/>
      <c r="AV446" s="10"/>
      <c r="AW446" s="10"/>
      <c r="AX446" s="10"/>
      <c r="AY446" s="10"/>
      <c r="AZ446" s="10"/>
      <c r="BA446" s="10"/>
      <c r="BB446" s="10"/>
      <c r="BC446" s="10"/>
      <c r="BD446" s="10"/>
      <c r="BE446" s="10"/>
      <c r="BF446" s="10"/>
      <c r="BG446" s="10"/>
      <c r="BH446" s="10"/>
      <c r="BI446" s="10"/>
      <c r="BJ446" s="10"/>
      <c r="BK446" s="10"/>
      <c r="BL446" s="10"/>
    </row>
    <row r="447" spans="5:64" s="8" customFormat="1" x14ac:dyDescent="0.2">
      <c r="E447" s="85"/>
      <c r="AR447" s="10"/>
      <c r="AS447" s="10"/>
      <c r="AT447" s="10"/>
      <c r="AU447" s="10"/>
      <c r="AV447" s="10"/>
      <c r="AW447" s="10"/>
      <c r="AX447" s="10"/>
      <c r="AY447" s="10"/>
      <c r="AZ447" s="10"/>
      <c r="BA447" s="10"/>
      <c r="BB447" s="10"/>
      <c r="BC447" s="10"/>
      <c r="BD447" s="10"/>
      <c r="BE447" s="10"/>
      <c r="BF447" s="10"/>
      <c r="BG447" s="10"/>
      <c r="BH447" s="10"/>
      <c r="BI447" s="10"/>
      <c r="BJ447" s="10"/>
      <c r="BK447" s="10"/>
      <c r="BL447" s="10"/>
    </row>
    <row r="448" spans="5:64" s="8" customFormat="1" x14ac:dyDescent="0.2">
      <c r="E448" s="85"/>
      <c r="AR448" s="10"/>
      <c r="AS448" s="10"/>
      <c r="AT448" s="10"/>
      <c r="AU448" s="10"/>
      <c r="AV448" s="10"/>
      <c r="AW448" s="10"/>
      <c r="AX448" s="10"/>
      <c r="AY448" s="10"/>
      <c r="AZ448" s="10"/>
      <c r="BA448" s="10"/>
      <c r="BB448" s="10"/>
      <c r="BC448" s="10"/>
      <c r="BD448" s="10"/>
      <c r="BE448" s="10"/>
      <c r="BF448" s="10"/>
      <c r="BG448" s="10"/>
      <c r="BH448" s="10"/>
      <c r="BI448" s="10"/>
      <c r="BJ448" s="10"/>
      <c r="BK448" s="10"/>
      <c r="BL448" s="10"/>
    </row>
    <row r="449" spans="5:64" s="8" customFormat="1" x14ac:dyDescent="0.2">
      <c r="E449" s="85"/>
      <c r="AR449" s="10"/>
      <c r="AS449" s="10"/>
      <c r="AT449" s="10"/>
      <c r="AU449" s="10"/>
      <c r="AV449" s="10"/>
      <c r="AW449" s="10"/>
      <c r="AX449" s="10"/>
      <c r="AY449" s="10"/>
      <c r="AZ449" s="10"/>
      <c r="BA449" s="10"/>
      <c r="BB449" s="10"/>
      <c r="BC449" s="10"/>
      <c r="BD449" s="10"/>
      <c r="BE449" s="10"/>
      <c r="BF449" s="10"/>
      <c r="BG449" s="10"/>
      <c r="BH449" s="10"/>
      <c r="BI449" s="10"/>
      <c r="BJ449" s="10"/>
      <c r="BK449" s="10"/>
      <c r="BL449" s="10"/>
    </row>
    <row r="450" spans="5:64" s="8" customFormat="1" x14ac:dyDescent="0.2">
      <c r="E450" s="85"/>
      <c r="AR450" s="10"/>
      <c r="AS450" s="10"/>
      <c r="AT450" s="10"/>
      <c r="AU450" s="10"/>
      <c r="AV450" s="10"/>
      <c r="AW450" s="10"/>
      <c r="AX450" s="10"/>
      <c r="AY450" s="10"/>
      <c r="AZ450" s="10"/>
      <c r="BA450" s="10"/>
      <c r="BB450" s="10"/>
      <c r="BC450" s="10"/>
      <c r="BD450" s="10"/>
      <c r="BE450" s="10"/>
      <c r="BF450" s="10"/>
      <c r="BG450" s="10"/>
      <c r="BH450" s="10"/>
      <c r="BI450" s="10"/>
      <c r="BJ450" s="10"/>
      <c r="BK450" s="10"/>
      <c r="BL450" s="10"/>
    </row>
    <row r="451" spans="5:64" s="8" customFormat="1" x14ac:dyDescent="0.2">
      <c r="E451" s="85"/>
      <c r="AR451" s="10"/>
      <c r="AS451" s="10"/>
      <c r="AT451" s="10"/>
      <c r="AU451" s="10"/>
      <c r="AV451" s="10"/>
      <c r="AW451" s="10"/>
      <c r="AX451" s="10"/>
      <c r="AY451" s="10"/>
      <c r="AZ451" s="10"/>
      <c r="BA451" s="10"/>
      <c r="BB451" s="10"/>
      <c r="BC451" s="10"/>
      <c r="BD451" s="10"/>
      <c r="BE451" s="10"/>
      <c r="BF451" s="10"/>
      <c r="BG451" s="10"/>
      <c r="BH451" s="10"/>
      <c r="BI451" s="10"/>
      <c r="BJ451" s="10"/>
      <c r="BK451" s="10"/>
      <c r="BL451" s="10"/>
    </row>
    <row r="452" spans="5:64" s="8" customFormat="1" x14ac:dyDescent="0.2">
      <c r="E452" s="85"/>
      <c r="AR452" s="10"/>
      <c r="AS452" s="10"/>
      <c r="AT452" s="10"/>
      <c r="AU452" s="10"/>
      <c r="AV452" s="10"/>
      <c r="AW452" s="10"/>
      <c r="AX452" s="10"/>
      <c r="AY452" s="10"/>
      <c r="AZ452" s="10"/>
      <c r="BA452" s="10"/>
      <c r="BB452" s="10"/>
      <c r="BC452" s="10"/>
      <c r="BD452" s="10"/>
      <c r="BE452" s="10"/>
      <c r="BF452" s="10"/>
      <c r="BG452" s="10"/>
      <c r="BH452" s="10"/>
      <c r="BI452" s="10"/>
      <c r="BJ452" s="10"/>
      <c r="BK452" s="10"/>
      <c r="BL452" s="10"/>
    </row>
    <row r="453" spans="5:64" s="8" customFormat="1" x14ac:dyDescent="0.2">
      <c r="E453" s="85"/>
      <c r="AR453" s="10"/>
      <c r="AS453" s="10"/>
      <c r="AT453" s="10"/>
      <c r="AU453" s="10"/>
      <c r="AV453" s="10"/>
      <c r="AW453" s="10"/>
      <c r="AX453" s="10"/>
      <c r="AY453" s="10"/>
      <c r="AZ453" s="10"/>
      <c r="BA453" s="10"/>
      <c r="BB453" s="10"/>
      <c r="BC453" s="10"/>
      <c r="BD453" s="10"/>
      <c r="BE453" s="10"/>
      <c r="BF453" s="10"/>
      <c r="BG453" s="10"/>
      <c r="BH453" s="10"/>
      <c r="BI453" s="10"/>
      <c r="BJ453" s="10"/>
      <c r="BK453" s="10"/>
      <c r="BL453" s="10"/>
    </row>
    <row r="454" spans="5:64" s="8" customFormat="1" x14ac:dyDescent="0.2">
      <c r="E454" s="85"/>
      <c r="AR454" s="10"/>
      <c r="AS454" s="10"/>
      <c r="AT454" s="10"/>
      <c r="AU454" s="10"/>
      <c r="AV454" s="10"/>
      <c r="AW454" s="10"/>
      <c r="AX454" s="10"/>
      <c r="AY454" s="10"/>
      <c r="AZ454" s="10"/>
      <c r="BA454" s="10"/>
      <c r="BB454" s="10"/>
      <c r="BC454" s="10"/>
      <c r="BD454" s="10"/>
      <c r="BE454" s="10"/>
      <c r="BF454" s="10"/>
      <c r="BG454" s="10"/>
      <c r="BH454" s="10"/>
      <c r="BI454" s="10"/>
      <c r="BJ454" s="10"/>
      <c r="BK454" s="10"/>
      <c r="BL454" s="10"/>
    </row>
    <row r="455" spans="5:64" s="8" customFormat="1" x14ac:dyDescent="0.2">
      <c r="E455" s="85"/>
      <c r="AR455" s="10"/>
      <c r="AS455" s="10"/>
      <c r="AT455" s="10"/>
      <c r="AU455" s="10"/>
      <c r="AV455" s="10"/>
      <c r="AW455" s="10"/>
      <c r="AX455" s="10"/>
      <c r="AY455" s="10"/>
      <c r="AZ455" s="10"/>
      <c r="BA455" s="10"/>
      <c r="BB455" s="10"/>
      <c r="BC455" s="10"/>
      <c r="BD455" s="10"/>
      <c r="BE455" s="10"/>
      <c r="BF455" s="10"/>
      <c r="BG455" s="10"/>
      <c r="BH455" s="10"/>
      <c r="BI455" s="10"/>
      <c r="BJ455" s="10"/>
      <c r="BK455" s="10"/>
      <c r="BL455" s="10"/>
    </row>
    <row r="456" spans="5:64" s="8" customFormat="1" x14ac:dyDescent="0.2">
      <c r="E456" s="85"/>
      <c r="AR456" s="10"/>
      <c r="AS456" s="10"/>
      <c r="AT456" s="10"/>
      <c r="AU456" s="10"/>
      <c r="AV456" s="10"/>
      <c r="AW456" s="10"/>
      <c r="AX456" s="10"/>
      <c r="AY456" s="10"/>
      <c r="AZ456" s="10"/>
      <c r="BA456" s="10"/>
      <c r="BB456" s="10"/>
      <c r="BC456" s="10"/>
      <c r="BD456" s="10"/>
      <c r="BE456" s="10"/>
      <c r="BF456" s="10"/>
      <c r="BG456" s="10"/>
      <c r="BH456" s="10"/>
      <c r="BI456" s="10"/>
      <c r="BJ456" s="10"/>
      <c r="BK456" s="10"/>
      <c r="BL456" s="10"/>
    </row>
    <row r="457" spans="5:64" s="8" customFormat="1" x14ac:dyDescent="0.2">
      <c r="E457" s="85"/>
      <c r="AR457" s="10"/>
      <c r="AS457" s="10"/>
      <c r="AT457" s="10"/>
      <c r="AU457" s="10"/>
      <c r="AV457" s="10"/>
      <c r="AW457" s="10"/>
      <c r="AX457" s="10"/>
      <c r="AY457" s="10"/>
      <c r="AZ457" s="10"/>
      <c r="BA457" s="10"/>
      <c r="BB457" s="10"/>
      <c r="BC457" s="10"/>
      <c r="BD457" s="10"/>
      <c r="BE457" s="10"/>
      <c r="BF457" s="10"/>
      <c r="BG457" s="10"/>
      <c r="BH457" s="10"/>
      <c r="BI457" s="10"/>
      <c r="BJ457" s="10"/>
      <c r="BK457" s="10"/>
      <c r="BL457" s="10"/>
    </row>
    <row r="458" spans="5:64" s="8" customFormat="1" x14ac:dyDescent="0.2">
      <c r="E458" s="85"/>
      <c r="AR458" s="10"/>
      <c r="AS458" s="10"/>
      <c r="AT458" s="10"/>
      <c r="AU458" s="10"/>
      <c r="AV458" s="10"/>
      <c r="AW458" s="10"/>
      <c r="AX458" s="10"/>
      <c r="AY458" s="10"/>
      <c r="AZ458" s="10"/>
      <c r="BA458" s="10"/>
      <c r="BB458" s="10"/>
      <c r="BC458" s="10"/>
      <c r="BD458" s="10"/>
      <c r="BE458" s="10"/>
      <c r="BF458" s="10"/>
      <c r="BG458" s="10"/>
      <c r="BH458" s="10"/>
      <c r="BI458" s="10"/>
      <c r="BJ458" s="10"/>
      <c r="BK458" s="10"/>
      <c r="BL458" s="10"/>
    </row>
    <row r="459" spans="5:64" s="8" customFormat="1" x14ac:dyDescent="0.2">
      <c r="E459" s="85"/>
      <c r="AR459" s="10"/>
      <c r="AS459" s="10"/>
      <c r="AT459" s="10"/>
      <c r="AU459" s="10"/>
      <c r="AV459" s="10"/>
      <c r="AW459" s="10"/>
      <c r="AX459" s="10"/>
      <c r="AY459" s="10"/>
      <c r="AZ459" s="10"/>
      <c r="BA459" s="10"/>
      <c r="BB459" s="10"/>
      <c r="BC459" s="10"/>
      <c r="BD459" s="10"/>
      <c r="BE459" s="10"/>
      <c r="BF459" s="10"/>
      <c r="BG459" s="10"/>
      <c r="BH459" s="10"/>
      <c r="BI459" s="10"/>
      <c r="BJ459" s="10"/>
      <c r="BK459" s="10"/>
      <c r="BL459" s="10"/>
    </row>
    <row r="460" spans="5:64" s="8" customFormat="1" x14ac:dyDescent="0.2">
      <c r="E460" s="85"/>
      <c r="AR460" s="10"/>
      <c r="AS460" s="10"/>
      <c r="AT460" s="10"/>
      <c r="AU460" s="10"/>
      <c r="AV460" s="10"/>
      <c r="AW460" s="10"/>
      <c r="AX460" s="10"/>
      <c r="AY460" s="10"/>
      <c r="AZ460" s="10"/>
      <c r="BA460" s="10"/>
      <c r="BB460" s="10"/>
      <c r="BC460" s="10"/>
      <c r="BD460" s="10"/>
      <c r="BE460" s="10"/>
      <c r="BF460" s="10"/>
      <c r="BG460" s="10"/>
      <c r="BH460" s="10"/>
      <c r="BI460" s="10"/>
      <c r="BJ460" s="10"/>
      <c r="BK460" s="10"/>
      <c r="BL460" s="10"/>
    </row>
    <row r="461" spans="5:64" s="8" customFormat="1" x14ac:dyDescent="0.2">
      <c r="E461" s="85"/>
      <c r="AR461" s="10"/>
      <c r="AS461" s="10"/>
      <c r="AT461" s="10"/>
      <c r="AU461" s="10"/>
      <c r="AV461" s="10"/>
      <c r="AW461" s="10"/>
      <c r="AX461" s="10"/>
      <c r="AY461" s="10"/>
      <c r="AZ461" s="10"/>
      <c r="BA461" s="10"/>
      <c r="BB461" s="10"/>
      <c r="BC461" s="10"/>
      <c r="BD461" s="10"/>
      <c r="BE461" s="10"/>
      <c r="BF461" s="10"/>
      <c r="BG461" s="10"/>
      <c r="BH461" s="10"/>
      <c r="BI461" s="10"/>
      <c r="BJ461" s="10"/>
      <c r="BK461" s="10"/>
      <c r="BL461" s="10"/>
    </row>
    <row r="462" spans="5:64" s="8" customFormat="1" x14ac:dyDescent="0.2">
      <c r="E462" s="85"/>
      <c r="AR462" s="10"/>
      <c r="AS462" s="10"/>
      <c r="AT462" s="10"/>
      <c r="AU462" s="10"/>
      <c r="AV462" s="10"/>
      <c r="AW462" s="10"/>
      <c r="AX462" s="10"/>
      <c r="AY462" s="10"/>
      <c r="AZ462" s="10"/>
      <c r="BA462" s="10"/>
      <c r="BB462" s="10"/>
      <c r="BC462" s="10"/>
      <c r="BD462" s="10"/>
      <c r="BE462" s="10"/>
      <c r="BF462" s="10"/>
      <c r="BG462" s="10"/>
      <c r="BH462" s="10"/>
      <c r="BI462" s="10"/>
      <c r="BJ462" s="10"/>
      <c r="BK462" s="10"/>
      <c r="BL462" s="10"/>
    </row>
    <row r="463" spans="5:64" s="8" customFormat="1" x14ac:dyDescent="0.2">
      <c r="E463" s="85"/>
      <c r="AR463" s="10"/>
      <c r="AS463" s="10"/>
      <c r="AT463" s="10"/>
      <c r="AU463" s="10"/>
      <c r="AV463" s="10"/>
      <c r="AW463" s="10"/>
      <c r="AX463" s="10"/>
      <c r="AY463" s="10"/>
      <c r="AZ463" s="10"/>
      <c r="BA463" s="10"/>
      <c r="BB463" s="10"/>
      <c r="BC463" s="10"/>
      <c r="BD463" s="10"/>
      <c r="BE463" s="10"/>
      <c r="BF463" s="10"/>
      <c r="BG463" s="10"/>
      <c r="BH463" s="10"/>
      <c r="BI463" s="10"/>
      <c r="BJ463" s="10"/>
      <c r="BK463" s="10"/>
      <c r="BL463" s="10"/>
    </row>
    <row r="464" spans="5:64" s="8" customFormat="1" x14ac:dyDescent="0.2">
      <c r="E464" s="85"/>
      <c r="AR464" s="10"/>
      <c r="AS464" s="10"/>
      <c r="AT464" s="10"/>
      <c r="AU464" s="10"/>
      <c r="AV464" s="10"/>
      <c r="AW464" s="10"/>
      <c r="AX464" s="10"/>
      <c r="AY464" s="10"/>
      <c r="AZ464" s="10"/>
      <c r="BA464" s="10"/>
      <c r="BB464" s="10"/>
      <c r="BC464" s="10"/>
      <c r="BD464" s="10"/>
      <c r="BE464" s="10"/>
      <c r="BF464" s="10"/>
      <c r="BG464" s="10"/>
      <c r="BH464" s="10"/>
      <c r="BI464" s="10"/>
      <c r="BJ464" s="10"/>
      <c r="BK464" s="10"/>
      <c r="BL464" s="10"/>
    </row>
    <row r="465" spans="5:64" s="8" customFormat="1" x14ac:dyDescent="0.2">
      <c r="E465" s="85"/>
      <c r="AR465" s="10"/>
      <c r="AS465" s="10"/>
      <c r="AT465" s="10"/>
      <c r="AU465" s="10"/>
      <c r="AV465" s="10"/>
      <c r="AW465" s="10"/>
      <c r="AX465" s="10"/>
      <c r="AY465" s="10"/>
      <c r="AZ465" s="10"/>
      <c r="BA465" s="10"/>
      <c r="BB465" s="10"/>
      <c r="BC465" s="10"/>
      <c r="BD465" s="10"/>
      <c r="BE465" s="10"/>
      <c r="BF465" s="10"/>
      <c r="BG465" s="10"/>
      <c r="BH465" s="10"/>
      <c r="BI465" s="10"/>
      <c r="BJ465" s="10"/>
      <c r="BK465" s="10"/>
      <c r="BL465" s="10"/>
    </row>
    <row r="466" spans="5:64" s="8" customFormat="1" x14ac:dyDescent="0.2">
      <c r="E466" s="85"/>
      <c r="AR466" s="10"/>
      <c r="AS466" s="10"/>
      <c r="AT466" s="10"/>
      <c r="AU466" s="10"/>
      <c r="AV466" s="10"/>
      <c r="AW466" s="10"/>
      <c r="AX466" s="10"/>
      <c r="AY466" s="10"/>
      <c r="AZ466" s="10"/>
      <c r="BA466" s="10"/>
      <c r="BB466" s="10"/>
      <c r="BC466" s="10"/>
      <c r="BD466" s="10"/>
      <c r="BE466" s="10"/>
      <c r="BF466" s="10"/>
      <c r="BG466" s="10"/>
      <c r="BH466" s="10"/>
      <c r="BI466" s="10"/>
      <c r="BJ466" s="10"/>
      <c r="BK466" s="10"/>
      <c r="BL466" s="10"/>
    </row>
    <row r="467" spans="5:64" s="8" customFormat="1" x14ac:dyDescent="0.2">
      <c r="E467" s="85"/>
      <c r="AR467" s="10"/>
      <c r="AS467" s="10"/>
      <c r="AT467" s="10"/>
      <c r="AU467" s="10"/>
      <c r="AV467" s="10"/>
      <c r="AW467" s="10"/>
      <c r="AX467" s="10"/>
      <c r="AY467" s="10"/>
      <c r="AZ467" s="10"/>
      <c r="BA467" s="10"/>
      <c r="BB467" s="10"/>
      <c r="BC467" s="10"/>
      <c r="BD467" s="10"/>
      <c r="BE467" s="10"/>
      <c r="BF467" s="10"/>
      <c r="BG467" s="10"/>
      <c r="BH467" s="10"/>
      <c r="BI467" s="10"/>
      <c r="BJ467" s="10"/>
      <c r="BK467" s="10"/>
      <c r="BL467" s="10"/>
    </row>
    <row r="468" spans="5:64" s="8" customFormat="1" x14ac:dyDescent="0.2">
      <c r="E468" s="85"/>
      <c r="AR468" s="10"/>
      <c r="AS468" s="10"/>
      <c r="AT468" s="10"/>
      <c r="AU468" s="10"/>
      <c r="AV468" s="10"/>
      <c r="AW468" s="10"/>
      <c r="AX468" s="10"/>
      <c r="AY468" s="10"/>
      <c r="AZ468" s="10"/>
      <c r="BA468" s="10"/>
      <c r="BB468" s="10"/>
      <c r="BC468" s="10"/>
      <c r="BD468" s="10"/>
      <c r="BE468" s="10"/>
      <c r="BF468" s="10"/>
      <c r="BG468" s="10"/>
      <c r="BH468" s="10"/>
      <c r="BI468" s="10"/>
      <c r="BJ468" s="10"/>
      <c r="BK468" s="10"/>
      <c r="BL468" s="10"/>
    </row>
    <row r="469" spans="5:64" s="8" customFormat="1" x14ac:dyDescent="0.2">
      <c r="E469" s="85"/>
      <c r="AR469" s="10"/>
      <c r="AS469" s="10"/>
      <c r="AT469" s="10"/>
      <c r="AU469" s="10"/>
      <c r="AV469" s="10"/>
      <c r="AW469" s="10"/>
      <c r="AX469" s="10"/>
      <c r="AY469" s="10"/>
      <c r="AZ469" s="10"/>
      <c r="BA469" s="10"/>
      <c r="BB469" s="10"/>
      <c r="BC469" s="10"/>
      <c r="BD469" s="10"/>
      <c r="BE469" s="10"/>
      <c r="BF469" s="10"/>
      <c r="BG469" s="10"/>
      <c r="BH469" s="10"/>
      <c r="BI469" s="10"/>
      <c r="BJ469" s="10"/>
      <c r="BK469" s="10"/>
      <c r="BL469" s="10"/>
    </row>
    <row r="470" spans="5:64" s="8" customFormat="1" x14ac:dyDescent="0.2">
      <c r="E470" s="85"/>
      <c r="AR470" s="10"/>
      <c r="AS470" s="10"/>
      <c r="AT470" s="10"/>
      <c r="AU470" s="10"/>
      <c r="AV470" s="10"/>
      <c r="AW470" s="10"/>
      <c r="AX470" s="10"/>
      <c r="AY470" s="10"/>
      <c r="AZ470" s="10"/>
      <c r="BA470" s="10"/>
      <c r="BB470" s="10"/>
      <c r="BC470" s="10"/>
      <c r="BD470" s="10"/>
      <c r="BE470" s="10"/>
      <c r="BF470" s="10"/>
      <c r="BG470" s="10"/>
      <c r="BH470" s="10"/>
      <c r="BI470" s="10"/>
      <c r="BJ470" s="10"/>
      <c r="BK470" s="10"/>
      <c r="BL470" s="10"/>
    </row>
    <row r="471" spans="5:64" s="8" customFormat="1" x14ac:dyDescent="0.2">
      <c r="E471" s="85"/>
      <c r="AR471" s="10"/>
      <c r="AS471" s="10"/>
      <c r="AT471" s="10"/>
      <c r="AU471" s="10"/>
      <c r="AV471" s="10"/>
      <c r="AW471" s="10"/>
      <c r="AX471" s="10"/>
      <c r="AY471" s="10"/>
      <c r="AZ471" s="10"/>
      <c r="BA471" s="10"/>
      <c r="BB471" s="10"/>
      <c r="BC471" s="10"/>
      <c r="BD471" s="10"/>
      <c r="BE471" s="10"/>
      <c r="BF471" s="10"/>
      <c r="BG471" s="10"/>
      <c r="BH471" s="10"/>
      <c r="BI471" s="10"/>
      <c r="BJ471" s="10"/>
      <c r="BK471" s="10"/>
      <c r="BL471" s="10"/>
    </row>
    <row r="472" spans="5:64" s="8" customFormat="1" x14ac:dyDescent="0.2">
      <c r="E472" s="85"/>
      <c r="AR472" s="10"/>
      <c r="AS472" s="10"/>
      <c r="AT472" s="10"/>
      <c r="AU472" s="10"/>
      <c r="AV472" s="10"/>
      <c r="AW472" s="10"/>
      <c r="AX472" s="10"/>
      <c r="AY472" s="10"/>
      <c r="AZ472" s="10"/>
      <c r="BA472" s="10"/>
      <c r="BB472" s="10"/>
      <c r="BC472" s="10"/>
      <c r="BD472" s="10"/>
      <c r="BE472" s="10"/>
      <c r="BF472" s="10"/>
      <c r="BG472" s="10"/>
      <c r="BH472" s="10"/>
      <c r="BI472" s="10"/>
      <c r="BJ472" s="10"/>
      <c r="BK472" s="10"/>
      <c r="BL472" s="10"/>
    </row>
    <row r="473" spans="5:64" s="8" customFormat="1" x14ac:dyDescent="0.2">
      <c r="E473" s="85"/>
      <c r="AR473" s="10"/>
      <c r="AS473" s="10"/>
      <c r="AT473" s="10"/>
      <c r="AU473" s="10"/>
      <c r="AV473" s="10"/>
      <c r="AW473" s="10"/>
      <c r="AX473" s="10"/>
      <c r="AY473" s="10"/>
      <c r="AZ473" s="10"/>
      <c r="BA473" s="10"/>
      <c r="BB473" s="10"/>
      <c r="BC473" s="10"/>
      <c r="BD473" s="10"/>
      <c r="BE473" s="10"/>
      <c r="BF473" s="10"/>
      <c r="BG473" s="10"/>
      <c r="BH473" s="10"/>
      <c r="BI473" s="10"/>
      <c r="BJ473" s="10"/>
      <c r="BK473" s="10"/>
      <c r="BL473" s="10"/>
    </row>
    <row r="474" spans="5:64" s="8" customFormat="1" x14ac:dyDescent="0.2">
      <c r="E474" s="85"/>
      <c r="AR474" s="10"/>
      <c r="AS474" s="10"/>
      <c r="AT474" s="10"/>
      <c r="AU474" s="10"/>
      <c r="AV474" s="10"/>
      <c r="AW474" s="10"/>
      <c r="AX474" s="10"/>
      <c r="AY474" s="10"/>
      <c r="AZ474" s="10"/>
      <c r="BA474" s="10"/>
      <c r="BB474" s="10"/>
      <c r="BC474" s="10"/>
      <c r="BD474" s="10"/>
      <c r="BE474" s="10"/>
      <c r="BF474" s="10"/>
      <c r="BG474" s="10"/>
      <c r="BH474" s="10"/>
      <c r="BI474" s="10"/>
      <c r="BJ474" s="10"/>
      <c r="BK474" s="10"/>
      <c r="BL474" s="10"/>
    </row>
    <row r="475" spans="5:64" s="8" customFormat="1" x14ac:dyDescent="0.2">
      <c r="E475" s="85"/>
      <c r="AR475" s="10"/>
      <c r="AS475" s="10"/>
      <c r="AT475" s="10"/>
      <c r="AU475" s="10"/>
      <c r="AV475" s="10"/>
      <c r="AW475" s="10"/>
      <c r="AX475" s="10"/>
      <c r="AY475" s="10"/>
      <c r="AZ475" s="10"/>
      <c r="BA475" s="10"/>
      <c r="BB475" s="10"/>
      <c r="BC475" s="10"/>
      <c r="BD475" s="10"/>
      <c r="BE475" s="10"/>
      <c r="BF475" s="10"/>
      <c r="BG475" s="10"/>
      <c r="BH475" s="10"/>
      <c r="BI475" s="10"/>
      <c r="BJ475" s="10"/>
      <c r="BK475" s="10"/>
      <c r="BL475" s="10"/>
    </row>
    <row r="476" spans="5:64" s="8" customFormat="1" x14ac:dyDescent="0.2">
      <c r="E476" s="85"/>
      <c r="AR476" s="10"/>
      <c r="AS476" s="10"/>
      <c r="AT476" s="10"/>
      <c r="AU476" s="10"/>
      <c r="AV476" s="10"/>
      <c r="AW476" s="10"/>
      <c r="AX476" s="10"/>
      <c r="AY476" s="10"/>
      <c r="AZ476" s="10"/>
      <c r="BA476" s="10"/>
      <c r="BB476" s="10"/>
      <c r="BC476" s="10"/>
      <c r="BD476" s="10"/>
      <c r="BE476" s="10"/>
      <c r="BF476" s="10"/>
      <c r="BG476" s="10"/>
      <c r="BH476" s="10"/>
      <c r="BI476" s="10"/>
      <c r="BJ476" s="10"/>
      <c r="BK476" s="10"/>
      <c r="BL476" s="10"/>
    </row>
    <row r="477" spans="5:64" s="8" customFormat="1" x14ac:dyDescent="0.2">
      <c r="E477" s="85"/>
      <c r="AR477" s="10"/>
      <c r="AS477" s="10"/>
      <c r="AT477" s="10"/>
      <c r="AU477" s="10"/>
      <c r="AV477" s="10"/>
      <c r="AW477" s="10"/>
      <c r="AX477" s="10"/>
      <c r="AY477" s="10"/>
      <c r="AZ477" s="10"/>
      <c r="BA477" s="10"/>
      <c r="BB477" s="10"/>
      <c r="BC477" s="10"/>
      <c r="BD477" s="10"/>
      <c r="BE477" s="10"/>
      <c r="BF477" s="10"/>
      <c r="BG477" s="10"/>
      <c r="BH477" s="10"/>
      <c r="BI477" s="10"/>
      <c r="BJ477" s="10"/>
      <c r="BK477" s="10"/>
      <c r="BL477" s="10"/>
    </row>
    <row r="478" spans="5:64" s="8" customFormat="1" x14ac:dyDescent="0.2">
      <c r="E478" s="85"/>
      <c r="AR478" s="10"/>
      <c r="AS478" s="10"/>
      <c r="AT478" s="10"/>
      <c r="AU478" s="10"/>
      <c r="AV478" s="10"/>
      <c r="AW478" s="10"/>
      <c r="AX478" s="10"/>
      <c r="AY478" s="10"/>
      <c r="AZ478" s="10"/>
      <c r="BA478" s="10"/>
      <c r="BB478" s="10"/>
      <c r="BC478" s="10"/>
      <c r="BD478" s="10"/>
      <c r="BE478" s="10"/>
      <c r="BF478" s="10"/>
      <c r="BG478" s="10"/>
      <c r="BH478" s="10"/>
      <c r="BI478" s="10"/>
      <c r="BJ478" s="10"/>
      <c r="BK478" s="10"/>
      <c r="BL478" s="10"/>
    </row>
    <row r="479" spans="5:64" s="8" customFormat="1" x14ac:dyDescent="0.2">
      <c r="E479" s="85"/>
      <c r="AR479" s="10"/>
      <c r="AS479" s="10"/>
      <c r="AT479" s="10"/>
      <c r="AU479" s="10"/>
      <c r="AV479" s="10"/>
      <c r="AW479" s="10"/>
      <c r="AX479" s="10"/>
      <c r="AY479" s="10"/>
      <c r="AZ479" s="10"/>
      <c r="BA479" s="10"/>
      <c r="BB479" s="10"/>
      <c r="BC479" s="10"/>
      <c r="BD479" s="10"/>
      <c r="BE479" s="10"/>
      <c r="BF479" s="10"/>
      <c r="BG479" s="10"/>
      <c r="BH479" s="10"/>
      <c r="BI479" s="10"/>
      <c r="BJ479" s="10"/>
      <c r="BK479" s="10"/>
      <c r="BL479" s="10"/>
    </row>
    <row r="480" spans="5:64" s="8" customFormat="1" x14ac:dyDescent="0.2">
      <c r="E480" s="85"/>
      <c r="AR480" s="10"/>
      <c r="AS480" s="10"/>
      <c r="AT480" s="10"/>
      <c r="AU480" s="10"/>
      <c r="AV480" s="10"/>
      <c r="AW480" s="10"/>
      <c r="AX480" s="10"/>
      <c r="AY480" s="10"/>
      <c r="AZ480" s="10"/>
      <c r="BA480" s="10"/>
      <c r="BB480" s="10"/>
      <c r="BC480" s="10"/>
      <c r="BD480" s="10"/>
      <c r="BE480" s="10"/>
      <c r="BF480" s="10"/>
      <c r="BG480" s="10"/>
      <c r="BH480" s="10"/>
      <c r="BI480" s="10"/>
      <c r="BJ480" s="10"/>
      <c r="BK480" s="10"/>
      <c r="BL480" s="10"/>
    </row>
    <row r="481" spans="5:64" s="8" customFormat="1" x14ac:dyDescent="0.2">
      <c r="E481" s="85"/>
      <c r="AR481" s="10"/>
      <c r="AS481" s="10"/>
      <c r="AT481" s="10"/>
      <c r="AU481" s="10"/>
      <c r="AV481" s="10"/>
      <c r="AW481" s="10"/>
      <c r="AX481" s="10"/>
      <c r="AY481" s="10"/>
      <c r="AZ481" s="10"/>
      <c r="BA481" s="10"/>
      <c r="BB481" s="10"/>
      <c r="BC481" s="10"/>
      <c r="BD481" s="10"/>
      <c r="BE481" s="10"/>
      <c r="BF481" s="10"/>
      <c r="BG481" s="10"/>
      <c r="BH481" s="10"/>
      <c r="BI481" s="10"/>
      <c r="BJ481" s="10"/>
      <c r="BK481" s="10"/>
      <c r="BL481" s="10"/>
    </row>
    <row r="482" spans="5:64" s="8" customFormat="1" x14ac:dyDescent="0.2">
      <c r="E482" s="85"/>
      <c r="AR482" s="10"/>
      <c r="AS482" s="10"/>
      <c r="AT482" s="10"/>
      <c r="AU482" s="10"/>
      <c r="AV482" s="10"/>
      <c r="AW482" s="10"/>
      <c r="AX482" s="10"/>
      <c r="AY482" s="10"/>
      <c r="AZ482" s="10"/>
      <c r="BA482" s="10"/>
      <c r="BB482" s="10"/>
      <c r="BC482" s="10"/>
      <c r="BD482" s="10"/>
      <c r="BE482" s="10"/>
      <c r="BF482" s="10"/>
      <c r="BG482" s="10"/>
      <c r="BH482" s="10"/>
      <c r="BI482" s="10"/>
      <c r="BJ482" s="10"/>
      <c r="BK482" s="10"/>
      <c r="BL482" s="10"/>
    </row>
    <row r="483" spans="5:64" s="8" customFormat="1" x14ac:dyDescent="0.2">
      <c r="E483" s="85"/>
      <c r="AR483" s="10"/>
      <c r="AS483" s="10"/>
      <c r="AT483" s="10"/>
      <c r="AU483" s="10"/>
      <c r="AV483" s="10"/>
      <c r="AW483" s="10"/>
      <c r="AX483" s="10"/>
      <c r="AY483" s="10"/>
      <c r="AZ483" s="10"/>
      <c r="BA483" s="10"/>
      <c r="BB483" s="10"/>
      <c r="BC483" s="10"/>
      <c r="BD483" s="10"/>
      <c r="BE483" s="10"/>
      <c r="BF483" s="10"/>
      <c r="BG483" s="10"/>
      <c r="BH483" s="10"/>
      <c r="BI483" s="10"/>
      <c r="BJ483" s="10"/>
      <c r="BK483" s="10"/>
      <c r="BL483" s="10"/>
    </row>
    <row r="484" spans="5:64" s="8" customFormat="1" x14ac:dyDescent="0.2">
      <c r="E484" s="85"/>
      <c r="AR484" s="10"/>
      <c r="AS484" s="10"/>
      <c r="AT484" s="10"/>
      <c r="AU484" s="10"/>
      <c r="AV484" s="10"/>
      <c r="AW484" s="10"/>
      <c r="AX484" s="10"/>
      <c r="AY484" s="10"/>
      <c r="AZ484" s="10"/>
      <c r="BA484" s="10"/>
      <c r="BB484" s="10"/>
      <c r="BC484" s="10"/>
      <c r="BD484" s="10"/>
      <c r="BE484" s="10"/>
      <c r="BF484" s="10"/>
      <c r="BG484" s="10"/>
      <c r="BH484" s="10"/>
      <c r="BI484" s="10"/>
      <c r="BJ484" s="10"/>
      <c r="BK484" s="10"/>
      <c r="BL484" s="10"/>
    </row>
    <row r="485" spans="5:64" s="8" customFormat="1" x14ac:dyDescent="0.2">
      <c r="E485" s="85"/>
      <c r="AR485" s="10"/>
      <c r="AS485" s="10"/>
      <c r="AT485" s="10"/>
      <c r="AU485" s="10"/>
      <c r="AV485" s="10"/>
      <c r="AW485" s="10"/>
      <c r="AX485" s="10"/>
      <c r="AY485" s="10"/>
      <c r="AZ485" s="10"/>
      <c r="BA485" s="10"/>
      <c r="BB485" s="10"/>
      <c r="BC485" s="10"/>
      <c r="BD485" s="10"/>
      <c r="BE485" s="10"/>
      <c r="BF485" s="10"/>
      <c r="BG485" s="10"/>
      <c r="BH485" s="10"/>
      <c r="BI485" s="10"/>
      <c r="BJ485" s="10"/>
      <c r="BK485" s="10"/>
      <c r="BL485" s="10"/>
    </row>
    <row r="486" spans="5:64" s="8" customFormat="1" x14ac:dyDescent="0.2">
      <c r="E486" s="85"/>
      <c r="AR486" s="10"/>
      <c r="AS486" s="10"/>
      <c r="AT486" s="10"/>
      <c r="AU486" s="10"/>
      <c r="AV486" s="10"/>
      <c r="AW486" s="10"/>
      <c r="AX486" s="10"/>
      <c r="AY486" s="10"/>
      <c r="AZ486" s="10"/>
      <c r="BA486" s="10"/>
      <c r="BB486" s="10"/>
      <c r="BC486" s="10"/>
      <c r="BD486" s="10"/>
      <c r="BE486" s="10"/>
      <c r="BF486" s="10"/>
      <c r="BG486" s="10"/>
      <c r="BH486" s="10"/>
      <c r="BI486" s="10"/>
      <c r="BJ486" s="10"/>
      <c r="BK486" s="10"/>
      <c r="BL486" s="10"/>
    </row>
    <row r="487" spans="5:64" s="8" customFormat="1" x14ac:dyDescent="0.2">
      <c r="E487" s="85"/>
      <c r="AR487" s="10"/>
      <c r="AS487" s="10"/>
      <c r="AT487" s="10"/>
      <c r="AU487" s="10"/>
      <c r="AV487" s="10"/>
      <c r="AW487" s="10"/>
      <c r="AX487" s="10"/>
      <c r="AY487" s="10"/>
      <c r="AZ487" s="10"/>
      <c r="BA487" s="10"/>
      <c r="BB487" s="10"/>
      <c r="BC487" s="10"/>
      <c r="BD487" s="10"/>
      <c r="BE487" s="10"/>
      <c r="BF487" s="10"/>
      <c r="BG487" s="10"/>
      <c r="BH487" s="10"/>
      <c r="BI487" s="10"/>
      <c r="BJ487" s="10"/>
      <c r="BK487" s="10"/>
      <c r="BL487" s="10"/>
    </row>
    <row r="488" spans="5:64" s="8" customFormat="1" x14ac:dyDescent="0.2">
      <c r="E488" s="85"/>
      <c r="AR488" s="10"/>
      <c r="AS488" s="10"/>
      <c r="AT488" s="10"/>
      <c r="AU488" s="10"/>
      <c r="AV488" s="10"/>
      <c r="AW488" s="10"/>
      <c r="AX488" s="10"/>
      <c r="AY488" s="10"/>
      <c r="AZ488" s="10"/>
      <c r="BA488" s="10"/>
      <c r="BB488" s="10"/>
      <c r="BC488" s="10"/>
      <c r="BD488" s="10"/>
      <c r="BE488" s="10"/>
      <c r="BF488" s="10"/>
      <c r="BG488" s="10"/>
      <c r="BH488" s="10"/>
      <c r="BI488" s="10"/>
      <c r="BJ488" s="10"/>
      <c r="BK488" s="10"/>
      <c r="BL488" s="10"/>
    </row>
    <row r="489" spans="5:64" s="8" customFormat="1" x14ac:dyDescent="0.2">
      <c r="E489" s="85"/>
      <c r="AR489" s="10"/>
      <c r="AS489" s="10"/>
      <c r="AT489" s="10"/>
      <c r="AU489" s="10"/>
      <c r="AV489" s="10"/>
      <c r="AW489" s="10"/>
      <c r="AX489" s="10"/>
      <c r="AY489" s="10"/>
      <c r="AZ489" s="10"/>
      <c r="BA489" s="10"/>
      <c r="BB489" s="10"/>
      <c r="BC489" s="10"/>
      <c r="BD489" s="10"/>
      <c r="BE489" s="10"/>
      <c r="BF489" s="10"/>
      <c r="BG489" s="10"/>
      <c r="BH489" s="10"/>
      <c r="BI489" s="10"/>
      <c r="BJ489" s="10"/>
      <c r="BK489" s="10"/>
      <c r="BL489" s="10"/>
    </row>
    <row r="490" spans="5:64" s="8" customFormat="1" x14ac:dyDescent="0.2">
      <c r="E490" s="85"/>
      <c r="AR490" s="10"/>
      <c r="AS490" s="10"/>
      <c r="AT490" s="10"/>
      <c r="AU490" s="10"/>
      <c r="AV490" s="10"/>
      <c r="AW490" s="10"/>
      <c r="AX490" s="10"/>
      <c r="AY490" s="10"/>
      <c r="AZ490" s="10"/>
      <c r="BA490" s="10"/>
      <c r="BB490" s="10"/>
      <c r="BC490" s="10"/>
      <c r="BD490" s="10"/>
      <c r="BE490" s="10"/>
      <c r="BF490" s="10"/>
      <c r="BG490" s="10"/>
      <c r="BH490" s="10"/>
      <c r="BI490" s="10"/>
      <c r="BJ490" s="10"/>
      <c r="BK490" s="10"/>
      <c r="BL490" s="10"/>
    </row>
    <row r="491" spans="5:64" s="8" customFormat="1" x14ac:dyDescent="0.2">
      <c r="E491" s="85"/>
      <c r="AR491" s="10"/>
      <c r="AS491" s="10"/>
      <c r="AT491" s="10"/>
      <c r="AU491" s="10"/>
      <c r="AV491" s="10"/>
      <c r="AW491" s="10"/>
      <c r="AX491" s="10"/>
      <c r="AY491" s="10"/>
      <c r="AZ491" s="10"/>
      <c r="BA491" s="10"/>
      <c r="BB491" s="10"/>
      <c r="BC491" s="10"/>
      <c r="BD491" s="10"/>
      <c r="BE491" s="10"/>
      <c r="BF491" s="10"/>
      <c r="BG491" s="10"/>
      <c r="BH491" s="10"/>
      <c r="BI491" s="10"/>
      <c r="BJ491" s="10"/>
      <c r="BK491" s="10"/>
      <c r="BL491" s="10"/>
    </row>
    <row r="492" spans="5:64" s="8" customFormat="1" x14ac:dyDescent="0.2">
      <c r="E492" s="85"/>
      <c r="AR492" s="10"/>
      <c r="AS492" s="10"/>
      <c r="AT492" s="10"/>
      <c r="AU492" s="10"/>
      <c r="AV492" s="10"/>
      <c r="AW492" s="10"/>
      <c r="AX492" s="10"/>
      <c r="AY492" s="10"/>
      <c r="AZ492" s="10"/>
      <c r="BA492" s="10"/>
      <c r="BB492" s="10"/>
      <c r="BC492" s="10"/>
      <c r="BD492" s="10"/>
      <c r="BE492" s="10"/>
      <c r="BF492" s="10"/>
      <c r="BG492" s="10"/>
      <c r="BH492" s="10"/>
      <c r="BI492" s="10"/>
      <c r="BJ492" s="10"/>
      <c r="BK492" s="10"/>
      <c r="BL492" s="10"/>
    </row>
    <row r="493" spans="5:64" s="8" customFormat="1" x14ac:dyDescent="0.2">
      <c r="E493" s="85"/>
      <c r="AR493" s="10"/>
      <c r="AS493" s="10"/>
      <c r="AT493" s="10"/>
      <c r="AU493" s="10"/>
      <c r="AV493" s="10"/>
      <c r="AW493" s="10"/>
      <c r="AX493" s="10"/>
      <c r="AY493" s="10"/>
      <c r="AZ493" s="10"/>
      <c r="BA493" s="10"/>
      <c r="BB493" s="10"/>
      <c r="BC493" s="10"/>
      <c r="BD493" s="10"/>
      <c r="BE493" s="10"/>
      <c r="BF493" s="10"/>
      <c r="BG493" s="10"/>
      <c r="BH493" s="10"/>
      <c r="BI493" s="10"/>
      <c r="BJ493" s="10"/>
      <c r="BK493" s="10"/>
      <c r="BL493" s="10"/>
    </row>
    <row r="494" spans="5:64" s="8" customFormat="1" x14ac:dyDescent="0.2">
      <c r="E494" s="85"/>
      <c r="AR494" s="10"/>
      <c r="AS494" s="10"/>
      <c r="AT494" s="10"/>
      <c r="AU494" s="10"/>
      <c r="AV494" s="10"/>
      <c r="AW494" s="10"/>
      <c r="AX494" s="10"/>
      <c r="AY494" s="10"/>
      <c r="AZ494" s="10"/>
      <c r="BA494" s="10"/>
      <c r="BB494" s="10"/>
      <c r="BC494" s="10"/>
      <c r="BD494" s="10"/>
      <c r="BE494" s="10"/>
      <c r="BF494" s="10"/>
      <c r="BG494" s="10"/>
      <c r="BH494" s="10"/>
      <c r="BI494" s="10"/>
      <c r="BJ494" s="10"/>
      <c r="BK494" s="10"/>
      <c r="BL494" s="10"/>
    </row>
    <row r="495" spans="5:64" s="8" customFormat="1" x14ac:dyDescent="0.2">
      <c r="E495" s="85"/>
      <c r="AR495" s="10"/>
      <c r="AS495" s="10"/>
      <c r="AT495" s="10"/>
      <c r="AU495" s="10"/>
      <c r="AV495" s="10"/>
      <c r="AW495" s="10"/>
      <c r="AX495" s="10"/>
      <c r="AY495" s="10"/>
      <c r="AZ495" s="10"/>
      <c r="BA495" s="10"/>
      <c r="BB495" s="10"/>
      <c r="BC495" s="10"/>
      <c r="BD495" s="10"/>
      <c r="BE495" s="10"/>
      <c r="BF495" s="10"/>
      <c r="BG495" s="10"/>
      <c r="BH495" s="10"/>
      <c r="BI495" s="10"/>
      <c r="BJ495" s="10"/>
      <c r="BK495" s="10"/>
      <c r="BL495" s="10"/>
    </row>
    <row r="496" spans="5:64" s="8" customFormat="1" x14ac:dyDescent="0.2">
      <c r="E496" s="85"/>
      <c r="AR496" s="10"/>
      <c r="AS496" s="10"/>
      <c r="AT496" s="10"/>
      <c r="AU496" s="10"/>
      <c r="AV496" s="10"/>
      <c r="AW496" s="10"/>
      <c r="AX496" s="10"/>
      <c r="AY496" s="10"/>
      <c r="AZ496" s="10"/>
      <c r="BA496" s="10"/>
      <c r="BB496" s="10"/>
      <c r="BC496" s="10"/>
      <c r="BD496" s="10"/>
      <c r="BE496" s="10"/>
      <c r="BF496" s="10"/>
      <c r="BG496" s="10"/>
      <c r="BH496" s="10"/>
      <c r="BI496" s="10"/>
      <c r="BJ496" s="10"/>
      <c r="BK496" s="10"/>
      <c r="BL496" s="10"/>
    </row>
    <row r="497" spans="5:64" s="8" customFormat="1" x14ac:dyDescent="0.2">
      <c r="E497" s="85"/>
      <c r="AR497" s="10"/>
      <c r="AS497" s="10"/>
      <c r="AT497" s="10"/>
      <c r="AU497" s="10"/>
      <c r="AV497" s="10"/>
      <c r="AW497" s="10"/>
      <c r="AX497" s="10"/>
      <c r="AY497" s="10"/>
      <c r="AZ497" s="10"/>
      <c r="BA497" s="10"/>
      <c r="BB497" s="10"/>
      <c r="BC497" s="10"/>
      <c r="BD497" s="10"/>
      <c r="BE497" s="10"/>
      <c r="BF497" s="10"/>
      <c r="BG497" s="10"/>
      <c r="BH497" s="10"/>
      <c r="BI497" s="10"/>
      <c r="BJ497" s="10"/>
      <c r="BK497" s="10"/>
      <c r="BL497" s="10"/>
    </row>
    <row r="498" spans="5:64" s="8" customFormat="1" x14ac:dyDescent="0.2">
      <c r="E498" s="85"/>
      <c r="AR498" s="10"/>
      <c r="AS498" s="10"/>
      <c r="AT498" s="10"/>
      <c r="AU498" s="10"/>
      <c r="AV498" s="10"/>
      <c r="AW498" s="10"/>
      <c r="AX498" s="10"/>
      <c r="AY498" s="10"/>
      <c r="AZ498" s="10"/>
      <c r="BA498" s="10"/>
      <c r="BB498" s="10"/>
      <c r="BC498" s="10"/>
      <c r="BD498" s="10"/>
      <c r="BE498" s="10"/>
      <c r="BF498" s="10"/>
      <c r="BG498" s="10"/>
      <c r="BH498" s="10"/>
      <c r="BI498" s="10"/>
      <c r="BJ498" s="10"/>
      <c r="BK498" s="10"/>
      <c r="BL498" s="10"/>
    </row>
    <row r="499" spans="5:64" s="8" customFormat="1" x14ac:dyDescent="0.2">
      <c r="E499" s="85"/>
      <c r="AR499" s="10"/>
      <c r="AS499" s="10"/>
      <c r="AT499" s="10"/>
      <c r="AU499" s="10"/>
      <c r="AV499" s="10"/>
      <c r="AW499" s="10"/>
      <c r="AX499" s="10"/>
      <c r="AY499" s="10"/>
      <c r="AZ499" s="10"/>
      <c r="BA499" s="10"/>
      <c r="BB499" s="10"/>
      <c r="BC499" s="10"/>
      <c r="BD499" s="10"/>
      <c r="BE499" s="10"/>
      <c r="BF499" s="10"/>
      <c r="BG499" s="10"/>
      <c r="BH499" s="10"/>
      <c r="BI499" s="10"/>
      <c r="BJ499" s="10"/>
      <c r="BK499" s="10"/>
      <c r="BL499" s="10"/>
    </row>
    <row r="500" spans="5:64" s="8" customFormat="1" x14ac:dyDescent="0.2">
      <c r="E500" s="85"/>
      <c r="AR500" s="10"/>
      <c r="AS500" s="10"/>
      <c r="AT500" s="10"/>
      <c r="AU500" s="10"/>
      <c r="AV500" s="10"/>
      <c r="AW500" s="10"/>
      <c r="AX500" s="10"/>
      <c r="AY500" s="10"/>
      <c r="AZ500" s="10"/>
      <c r="BA500" s="10"/>
      <c r="BB500" s="10"/>
      <c r="BC500" s="10"/>
      <c r="BD500" s="10"/>
      <c r="BE500" s="10"/>
      <c r="BF500" s="10"/>
      <c r="BG500" s="10"/>
      <c r="BH500" s="10"/>
      <c r="BI500" s="10"/>
      <c r="BJ500" s="10"/>
      <c r="BK500" s="10"/>
      <c r="BL500" s="10"/>
    </row>
    <row r="501" spans="5:64" s="8" customFormat="1" x14ac:dyDescent="0.2">
      <c r="E501" s="85"/>
      <c r="AR501" s="10"/>
      <c r="AS501" s="10"/>
      <c r="AT501" s="10"/>
      <c r="AU501" s="10"/>
      <c r="AV501" s="10"/>
      <c r="AW501" s="10"/>
      <c r="AX501" s="10"/>
      <c r="AY501" s="10"/>
      <c r="AZ501" s="10"/>
      <c r="BA501" s="10"/>
      <c r="BB501" s="10"/>
      <c r="BC501" s="10"/>
      <c r="BD501" s="10"/>
      <c r="BE501" s="10"/>
      <c r="BF501" s="10"/>
      <c r="BG501" s="10"/>
      <c r="BH501" s="10"/>
      <c r="BI501" s="10"/>
      <c r="BJ501" s="10"/>
      <c r="BK501" s="10"/>
      <c r="BL501" s="10"/>
    </row>
    <row r="502" spans="5:64" s="8" customFormat="1" x14ac:dyDescent="0.2">
      <c r="E502" s="85"/>
      <c r="AR502" s="10"/>
      <c r="AS502" s="10"/>
      <c r="AT502" s="10"/>
      <c r="AU502" s="10"/>
      <c r="AV502" s="10"/>
      <c r="AW502" s="10"/>
      <c r="AX502" s="10"/>
      <c r="AY502" s="10"/>
      <c r="AZ502" s="10"/>
      <c r="BA502" s="10"/>
      <c r="BB502" s="10"/>
      <c r="BC502" s="10"/>
      <c r="BD502" s="10"/>
      <c r="BE502" s="10"/>
      <c r="BF502" s="10"/>
      <c r="BG502" s="10"/>
      <c r="BH502" s="10"/>
      <c r="BI502" s="10"/>
      <c r="BJ502" s="10"/>
      <c r="BK502" s="10"/>
      <c r="BL502" s="10"/>
    </row>
    <row r="503" spans="5:64" s="8" customFormat="1" x14ac:dyDescent="0.2">
      <c r="E503" s="85"/>
      <c r="AR503" s="10"/>
      <c r="AS503" s="10"/>
      <c r="AT503" s="10"/>
      <c r="AU503" s="10"/>
      <c r="AV503" s="10"/>
      <c r="AW503" s="10"/>
      <c r="AX503" s="10"/>
      <c r="AY503" s="10"/>
      <c r="AZ503" s="10"/>
      <c r="BA503" s="10"/>
      <c r="BB503" s="10"/>
      <c r="BC503" s="10"/>
      <c r="BD503" s="10"/>
      <c r="BE503" s="10"/>
      <c r="BF503" s="10"/>
      <c r="BG503" s="10"/>
      <c r="BH503" s="10"/>
      <c r="BI503" s="10"/>
      <c r="BJ503" s="10"/>
      <c r="BK503" s="10"/>
      <c r="BL503" s="10"/>
    </row>
    <row r="504" spans="5:64" s="8" customFormat="1" x14ac:dyDescent="0.2">
      <c r="E504" s="85"/>
      <c r="AR504" s="10"/>
      <c r="AS504" s="10"/>
      <c r="AT504" s="10"/>
      <c r="AU504" s="10"/>
      <c r="AV504" s="10"/>
      <c r="AW504" s="10"/>
      <c r="AX504" s="10"/>
      <c r="AY504" s="10"/>
      <c r="AZ504" s="10"/>
      <c r="BA504" s="10"/>
      <c r="BB504" s="10"/>
      <c r="BC504" s="10"/>
      <c r="BD504" s="10"/>
      <c r="BE504" s="10"/>
      <c r="BF504" s="10"/>
      <c r="BG504" s="10"/>
      <c r="BH504" s="10"/>
      <c r="BI504" s="10"/>
      <c r="BJ504" s="10"/>
      <c r="BK504" s="10"/>
      <c r="BL504" s="10"/>
    </row>
    <row r="505" spans="5:64" s="8" customFormat="1" x14ac:dyDescent="0.2">
      <c r="E505" s="85"/>
      <c r="AR505" s="10"/>
      <c r="AS505" s="10"/>
      <c r="AT505" s="10"/>
      <c r="AU505" s="10"/>
      <c r="AV505" s="10"/>
      <c r="AW505" s="10"/>
      <c r="AX505" s="10"/>
      <c r="AY505" s="10"/>
      <c r="AZ505" s="10"/>
      <c r="BA505" s="10"/>
      <c r="BB505" s="10"/>
      <c r="BC505" s="10"/>
      <c r="BD505" s="10"/>
      <c r="BE505" s="10"/>
      <c r="BF505" s="10"/>
      <c r="BG505" s="10"/>
      <c r="BH505" s="10"/>
      <c r="BI505" s="10"/>
      <c r="BJ505" s="10"/>
      <c r="BK505" s="10"/>
      <c r="BL505" s="10"/>
    </row>
    <row r="506" spans="5:64" s="8" customFormat="1" x14ac:dyDescent="0.2">
      <c r="E506" s="85"/>
      <c r="AR506" s="10"/>
      <c r="AS506" s="10"/>
      <c r="AT506" s="10"/>
      <c r="AU506" s="10"/>
      <c r="AV506" s="10"/>
      <c r="AW506" s="10"/>
      <c r="AX506" s="10"/>
      <c r="AY506" s="10"/>
      <c r="AZ506" s="10"/>
      <c r="BA506" s="10"/>
      <c r="BB506" s="10"/>
      <c r="BC506" s="10"/>
      <c r="BD506" s="10"/>
      <c r="BE506" s="10"/>
      <c r="BF506" s="10"/>
      <c r="BG506" s="10"/>
      <c r="BH506" s="10"/>
      <c r="BI506" s="10"/>
      <c r="BJ506" s="10"/>
      <c r="BK506" s="10"/>
      <c r="BL506" s="10"/>
    </row>
    <row r="507" spans="5:64" s="8" customFormat="1" x14ac:dyDescent="0.2">
      <c r="E507" s="85"/>
      <c r="AR507" s="10"/>
      <c r="AS507" s="10"/>
      <c r="AT507" s="10"/>
      <c r="AU507" s="10"/>
      <c r="AV507" s="10"/>
      <c r="AW507" s="10"/>
      <c r="AX507" s="10"/>
      <c r="AY507" s="10"/>
      <c r="AZ507" s="10"/>
      <c r="BA507" s="10"/>
      <c r="BB507" s="10"/>
      <c r="BC507" s="10"/>
      <c r="BD507" s="10"/>
      <c r="BE507" s="10"/>
      <c r="BF507" s="10"/>
      <c r="BG507" s="10"/>
      <c r="BH507" s="10"/>
      <c r="BI507" s="10"/>
      <c r="BJ507" s="10"/>
      <c r="BK507" s="10"/>
      <c r="BL507" s="10"/>
    </row>
    <row r="508" spans="5:64" s="8" customFormat="1" x14ac:dyDescent="0.2">
      <c r="E508" s="85"/>
      <c r="AR508" s="10"/>
      <c r="AS508" s="10"/>
      <c r="AT508" s="10"/>
      <c r="AU508" s="10"/>
      <c r="AV508" s="10"/>
      <c r="AW508" s="10"/>
      <c r="AX508" s="10"/>
      <c r="AY508" s="10"/>
      <c r="AZ508" s="10"/>
      <c r="BA508" s="10"/>
      <c r="BB508" s="10"/>
      <c r="BC508" s="10"/>
      <c r="BD508" s="10"/>
      <c r="BE508" s="10"/>
      <c r="BF508" s="10"/>
      <c r="BG508" s="10"/>
      <c r="BH508" s="10"/>
      <c r="BI508" s="10"/>
      <c r="BJ508" s="10"/>
      <c r="BK508" s="10"/>
      <c r="BL508" s="10"/>
    </row>
    <row r="509" spans="5:64" s="8" customFormat="1" x14ac:dyDescent="0.2">
      <c r="E509" s="85"/>
      <c r="AR509" s="10"/>
      <c r="AS509" s="10"/>
      <c r="AT509" s="10"/>
      <c r="AU509" s="10"/>
      <c r="AV509" s="10"/>
      <c r="AW509" s="10"/>
      <c r="AX509" s="10"/>
      <c r="AY509" s="10"/>
      <c r="AZ509" s="10"/>
      <c r="BA509" s="10"/>
      <c r="BB509" s="10"/>
      <c r="BC509" s="10"/>
      <c r="BD509" s="10"/>
      <c r="BE509" s="10"/>
      <c r="BF509" s="10"/>
      <c r="BG509" s="10"/>
      <c r="BH509" s="10"/>
      <c r="BI509" s="10"/>
      <c r="BJ509" s="10"/>
      <c r="BK509" s="10"/>
      <c r="BL509" s="10"/>
    </row>
    <row r="510" spans="5:64" s="8" customFormat="1" x14ac:dyDescent="0.2">
      <c r="E510" s="85"/>
      <c r="AR510" s="10"/>
      <c r="AS510" s="10"/>
      <c r="AT510" s="10"/>
      <c r="AU510" s="10"/>
      <c r="AV510" s="10"/>
      <c r="AW510" s="10"/>
      <c r="AX510" s="10"/>
      <c r="AY510" s="10"/>
      <c r="AZ510" s="10"/>
      <c r="BA510" s="10"/>
      <c r="BB510" s="10"/>
      <c r="BC510" s="10"/>
      <c r="BD510" s="10"/>
      <c r="BE510" s="10"/>
      <c r="BF510" s="10"/>
      <c r="BG510" s="10"/>
      <c r="BH510" s="10"/>
      <c r="BI510" s="10"/>
      <c r="BJ510" s="10"/>
      <c r="BK510" s="10"/>
      <c r="BL510" s="10"/>
    </row>
    <row r="511" spans="5:64" s="8" customFormat="1" x14ac:dyDescent="0.2">
      <c r="E511" s="85"/>
      <c r="AR511" s="10"/>
      <c r="AS511" s="10"/>
      <c r="AT511" s="10"/>
      <c r="AU511" s="10"/>
      <c r="AV511" s="10"/>
      <c r="AW511" s="10"/>
      <c r="AX511" s="10"/>
      <c r="AY511" s="10"/>
      <c r="AZ511" s="10"/>
      <c r="BA511" s="10"/>
      <c r="BB511" s="10"/>
      <c r="BC511" s="10"/>
      <c r="BD511" s="10"/>
      <c r="BE511" s="10"/>
      <c r="BF511" s="10"/>
      <c r="BG511" s="10"/>
      <c r="BH511" s="10"/>
      <c r="BI511" s="10"/>
      <c r="BJ511" s="10"/>
      <c r="BK511" s="10"/>
      <c r="BL511" s="10"/>
    </row>
    <row r="512" spans="5:64" s="8" customFormat="1" x14ac:dyDescent="0.2">
      <c r="E512" s="85"/>
      <c r="AR512" s="10"/>
      <c r="AS512" s="10"/>
      <c r="AT512" s="10"/>
      <c r="AU512" s="10"/>
      <c r="AV512" s="10"/>
      <c r="AW512" s="10"/>
      <c r="AX512" s="10"/>
      <c r="AY512" s="10"/>
      <c r="AZ512" s="10"/>
      <c r="BA512" s="10"/>
      <c r="BB512" s="10"/>
      <c r="BC512" s="10"/>
      <c r="BD512" s="10"/>
      <c r="BE512" s="10"/>
      <c r="BF512" s="10"/>
      <c r="BG512" s="10"/>
      <c r="BH512" s="10"/>
      <c r="BI512" s="10"/>
      <c r="BJ512" s="10"/>
      <c r="BK512" s="10"/>
      <c r="BL512" s="10"/>
    </row>
    <row r="513" spans="5:64" s="8" customFormat="1" x14ac:dyDescent="0.2">
      <c r="E513" s="85"/>
      <c r="AR513" s="10"/>
      <c r="AS513" s="10"/>
      <c r="AT513" s="10"/>
      <c r="AU513" s="10"/>
      <c r="AV513" s="10"/>
      <c r="AW513" s="10"/>
      <c r="AX513" s="10"/>
      <c r="AY513" s="10"/>
      <c r="AZ513" s="10"/>
      <c r="BA513" s="10"/>
      <c r="BB513" s="10"/>
      <c r="BC513" s="10"/>
      <c r="BD513" s="10"/>
      <c r="BE513" s="10"/>
      <c r="BF513" s="10"/>
      <c r="BG513" s="10"/>
      <c r="BH513" s="10"/>
      <c r="BI513" s="10"/>
      <c r="BJ513" s="10"/>
      <c r="BK513" s="10"/>
      <c r="BL513" s="10"/>
    </row>
    <row r="514" spans="5:64" s="8" customFormat="1" x14ac:dyDescent="0.2">
      <c r="E514" s="85"/>
      <c r="AR514" s="10"/>
      <c r="AS514" s="10"/>
      <c r="AT514" s="10"/>
      <c r="AU514" s="10"/>
      <c r="AV514" s="10"/>
      <c r="AW514" s="10"/>
      <c r="AX514" s="10"/>
      <c r="AY514" s="10"/>
      <c r="AZ514" s="10"/>
      <c r="BA514" s="10"/>
      <c r="BB514" s="10"/>
      <c r="BC514" s="10"/>
      <c r="BD514" s="10"/>
      <c r="BE514" s="10"/>
      <c r="BF514" s="10"/>
      <c r="BG514" s="10"/>
      <c r="BH514" s="10"/>
      <c r="BI514" s="10"/>
      <c r="BJ514" s="10"/>
      <c r="BK514" s="10"/>
      <c r="BL514" s="10"/>
    </row>
    <row r="515" spans="5:64" s="8" customFormat="1" x14ac:dyDescent="0.2">
      <c r="E515" s="85"/>
      <c r="AR515" s="10"/>
      <c r="AS515" s="10"/>
      <c r="AT515" s="10"/>
      <c r="AU515" s="10"/>
      <c r="AV515" s="10"/>
      <c r="AW515" s="10"/>
      <c r="AX515" s="10"/>
      <c r="AY515" s="10"/>
      <c r="AZ515" s="10"/>
      <c r="BA515" s="10"/>
      <c r="BB515" s="10"/>
      <c r="BC515" s="10"/>
      <c r="BD515" s="10"/>
      <c r="BE515" s="10"/>
      <c r="BF515" s="10"/>
      <c r="BG515" s="10"/>
      <c r="BH515" s="10"/>
      <c r="BI515" s="10"/>
      <c r="BJ515" s="10"/>
      <c r="BK515" s="10"/>
      <c r="BL515" s="10"/>
    </row>
    <row r="516" spans="5:64" s="8" customFormat="1" x14ac:dyDescent="0.2">
      <c r="E516" s="85"/>
      <c r="AR516" s="10"/>
      <c r="AS516" s="10"/>
      <c r="AT516" s="10"/>
      <c r="AU516" s="10"/>
      <c r="AV516" s="10"/>
      <c r="AW516" s="10"/>
      <c r="AX516" s="10"/>
      <c r="AY516" s="10"/>
      <c r="AZ516" s="10"/>
      <c r="BA516" s="10"/>
      <c r="BB516" s="10"/>
      <c r="BC516" s="10"/>
      <c r="BD516" s="10"/>
      <c r="BE516" s="10"/>
      <c r="BF516" s="10"/>
      <c r="BG516" s="10"/>
      <c r="BH516" s="10"/>
      <c r="BI516" s="10"/>
      <c r="BJ516" s="10"/>
      <c r="BK516" s="10"/>
      <c r="BL516" s="10"/>
    </row>
    <row r="517" spans="5:64" s="8" customFormat="1" x14ac:dyDescent="0.2">
      <c r="E517" s="85"/>
      <c r="AR517" s="10"/>
      <c r="AS517" s="10"/>
      <c r="AT517" s="10"/>
      <c r="AU517" s="10"/>
      <c r="AV517" s="10"/>
      <c r="AW517" s="10"/>
      <c r="AX517" s="10"/>
      <c r="AY517" s="10"/>
      <c r="AZ517" s="10"/>
      <c r="BA517" s="10"/>
      <c r="BB517" s="10"/>
      <c r="BC517" s="10"/>
      <c r="BD517" s="10"/>
      <c r="BE517" s="10"/>
      <c r="BF517" s="10"/>
      <c r="BG517" s="10"/>
      <c r="BH517" s="10"/>
      <c r="BI517" s="10"/>
      <c r="BJ517" s="10"/>
      <c r="BK517" s="10"/>
      <c r="BL517" s="10"/>
    </row>
    <row r="518" spans="5:64" s="8" customFormat="1" x14ac:dyDescent="0.2">
      <c r="E518" s="85"/>
      <c r="AR518" s="10"/>
      <c r="AS518" s="10"/>
      <c r="AT518" s="10"/>
      <c r="AU518" s="10"/>
      <c r="AV518" s="10"/>
      <c r="AW518" s="10"/>
      <c r="AX518" s="10"/>
      <c r="AY518" s="10"/>
      <c r="AZ518" s="10"/>
      <c r="BA518" s="10"/>
      <c r="BB518" s="10"/>
      <c r="BC518" s="10"/>
      <c r="BD518" s="10"/>
      <c r="BE518" s="10"/>
      <c r="BF518" s="10"/>
      <c r="BG518" s="10"/>
      <c r="BH518" s="10"/>
      <c r="BI518" s="10"/>
      <c r="BJ518" s="10"/>
      <c r="BK518" s="10"/>
      <c r="BL518" s="10"/>
    </row>
    <row r="519" spans="5:64" s="8" customFormat="1" x14ac:dyDescent="0.2">
      <c r="E519" s="85"/>
      <c r="AR519" s="10"/>
      <c r="AS519" s="10"/>
      <c r="AT519" s="10"/>
      <c r="AU519" s="10"/>
      <c r="AV519" s="10"/>
      <c r="AW519" s="10"/>
      <c r="AX519" s="10"/>
      <c r="AY519" s="10"/>
      <c r="AZ519" s="10"/>
      <c r="BA519" s="10"/>
      <c r="BB519" s="10"/>
      <c r="BC519" s="10"/>
      <c r="BD519" s="10"/>
      <c r="BE519" s="10"/>
      <c r="BF519" s="10"/>
      <c r="BG519" s="10"/>
      <c r="BH519" s="10"/>
      <c r="BI519" s="10"/>
      <c r="BJ519" s="10"/>
      <c r="BK519" s="10"/>
      <c r="BL519" s="10"/>
    </row>
    <row r="520" spans="5:64" s="8" customFormat="1" x14ac:dyDescent="0.2">
      <c r="E520" s="85"/>
      <c r="AR520" s="10"/>
      <c r="AS520" s="10"/>
      <c r="AT520" s="10"/>
      <c r="AU520" s="10"/>
      <c r="AV520" s="10"/>
      <c r="AW520" s="10"/>
      <c r="AX520" s="10"/>
      <c r="AY520" s="10"/>
      <c r="AZ520" s="10"/>
      <c r="BA520" s="10"/>
      <c r="BB520" s="10"/>
      <c r="BC520" s="10"/>
      <c r="BD520" s="10"/>
      <c r="BE520" s="10"/>
      <c r="BF520" s="10"/>
      <c r="BG520" s="10"/>
      <c r="BH520" s="10"/>
      <c r="BI520" s="10"/>
      <c r="BJ520" s="10"/>
      <c r="BK520" s="10"/>
      <c r="BL520" s="10"/>
    </row>
    <row r="521" spans="5:64" s="8" customFormat="1" x14ac:dyDescent="0.2">
      <c r="E521" s="85"/>
      <c r="AR521" s="10"/>
      <c r="AS521" s="10"/>
      <c r="AT521" s="10"/>
      <c r="AU521" s="10"/>
      <c r="AV521" s="10"/>
      <c r="AW521" s="10"/>
      <c r="AX521" s="10"/>
      <c r="AY521" s="10"/>
      <c r="AZ521" s="10"/>
      <c r="BA521" s="10"/>
      <c r="BB521" s="10"/>
      <c r="BC521" s="10"/>
      <c r="BD521" s="10"/>
      <c r="BE521" s="10"/>
      <c r="BF521" s="10"/>
      <c r="BG521" s="10"/>
      <c r="BH521" s="10"/>
      <c r="BI521" s="10"/>
      <c r="BJ521" s="10"/>
      <c r="BK521" s="10"/>
      <c r="BL521" s="10"/>
    </row>
    <row r="522" spans="5:64" s="8" customFormat="1" x14ac:dyDescent="0.2">
      <c r="E522" s="85"/>
      <c r="AR522" s="10"/>
      <c r="AS522" s="10"/>
      <c r="AT522" s="10"/>
      <c r="AU522" s="10"/>
      <c r="AV522" s="10"/>
      <c r="AW522" s="10"/>
      <c r="AX522" s="10"/>
      <c r="AY522" s="10"/>
      <c r="AZ522" s="10"/>
      <c r="BA522" s="10"/>
      <c r="BB522" s="10"/>
      <c r="BC522" s="10"/>
      <c r="BD522" s="10"/>
      <c r="BE522" s="10"/>
      <c r="BF522" s="10"/>
      <c r="BG522" s="10"/>
      <c r="BH522" s="10"/>
      <c r="BI522" s="10"/>
      <c r="BJ522" s="10"/>
      <c r="BK522" s="10"/>
      <c r="BL522" s="10"/>
    </row>
    <row r="523" spans="5:64" s="8" customFormat="1" x14ac:dyDescent="0.2">
      <c r="E523" s="85"/>
      <c r="AR523" s="10"/>
      <c r="AS523" s="10"/>
      <c r="AT523" s="10"/>
      <c r="AU523" s="10"/>
      <c r="AV523" s="10"/>
      <c r="AW523" s="10"/>
      <c r="AX523" s="10"/>
      <c r="AY523" s="10"/>
      <c r="AZ523" s="10"/>
      <c r="BA523" s="10"/>
      <c r="BB523" s="10"/>
      <c r="BC523" s="10"/>
      <c r="BD523" s="10"/>
      <c r="BE523" s="10"/>
      <c r="BF523" s="10"/>
      <c r="BG523" s="10"/>
      <c r="BH523" s="10"/>
      <c r="BI523" s="10"/>
      <c r="BJ523" s="10"/>
      <c r="BK523" s="10"/>
      <c r="BL523" s="10"/>
    </row>
    <row r="524" spans="5:64" s="8" customFormat="1" x14ac:dyDescent="0.2">
      <c r="E524" s="85"/>
      <c r="AR524" s="10"/>
      <c r="AS524" s="10"/>
      <c r="AT524" s="10"/>
      <c r="AU524" s="10"/>
      <c r="AV524" s="10"/>
      <c r="AW524" s="10"/>
      <c r="AX524" s="10"/>
      <c r="AY524" s="10"/>
      <c r="AZ524" s="10"/>
      <c r="BA524" s="10"/>
      <c r="BB524" s="10"/>
      <c r="BC524" s="10"/>
      <c r="BD524" s="10"/>
      <c r="BE524" s="10"/>
      <c r="BF524" s="10"/>
      <c r="BG524" s="10"/>
      <c r="BH524" s="10"/>
      <c r="BI524" s="10"/>
      <c r="BJ524" s="10"/>
      <c r="BK524" s="10"/>
      <c r="BL524" s="10"/>
    </row>
    <row r="525" spans="5:64" s="8" customFormat="1" x14ac:dyDescent="0.2">
      <c r="E525" s="85"/>
      <c r="AR525" s="10"/>
      <c r="AS525" s="10"/>
      <c r="AT525" s="10"/>
      <c r="AU525" s="10"/>
      <c r="AV525" s="10"/>
      <c r="AW525" s="10"/>
      <c r="AX525" s="10"/>
      <c r="AY525" s="10"/>
      <c r="AZ525" s="10"/>
      <c r="BA525" s="10"/>
      <c r="BB525" s="10"/>
      <c r="BC525" s="10"/>
      <c r="BD525" s="10"/>
      <c r="BE525" s="10"/>
      <c r="BF525" s="10"/>
      <c r="BG525" s="10"/>
      <c r="BH525" s="10"/>
      <c r="BI525" s="10"/>
      <c r="BJ525" s="10"/>
      <c r="BK525" s="10"/>
      <c r="BL525" s="10"/>
    </row>
    <row r="526" spans="5:64" s="8" customFormat="1" x14ac:dyDescent="0.2">
      <c r="E526" s="85"/>
      <c r="AR526" s="10"/>
      <c r="AS526" s="10"/>
      <c r="AT526" s="10"/>
      <c r="AU526" s="10"/>
      <c r="AV526" s="10"/>
      <c r="AW526" s="10"/>
      <c r="AX526" s="10"/>
      <c r="AY526" s="10"/>
      <c r="AZ526" s="10"/>
      <c r="BA526" s="10"/>
      <c r="BB526" s="10"/>
      <c r="BC526" s="10"/>
      <c r="BD526" s="10"/>
      <c r="BE526" s="10"/>
      <c r="BF526" s="10"/>
      <c r="BG526" s="10"/>
      <c r="BH526" s="10"/>
      <c r="BI526" s="10"/>
      <c r="BJ526" s="10"/>
      <c r="BK526" s="10"/>
      <c r="BL526" s="10"/>
    </row>
    <row r="527" spans="5:64" s="8" customFormat="1" x14ac:dyDescent="0.2">
      <c r="E527" s="85"/>
      <c r="AR527" s="10"/>
      <c r="AS527" s="10"/>
      <c r="AT527" s="10"/>
      <c r="AU527" s="10"/>
      <c r="AV527" s="10"/>
      <c r="AW527" s="10"/>
      <c r="AX527" s="10"/>
      <c r="AY527" s="10"/>
      <c r="AZ527" s="10"/>
      <c r="BA527" s="10"/>
      <c r="BB527" s="10"/>
      <c r="BC527" s="10"/>
      <c r="BD527" s="10"/>
      <c r="BE527" s="10"/>
      <c r="BF527" s="10"/>
      <c r="BG527" s="10"/>
      <c r="BH527" s="10"/>
      <c r="BI527" s="10"/>
      <c r="BJ527" s="10"/>
      <c r="BK527" s="10"/>
      <c r="BL527" s="10"/>
    </row>
    <row r="528" spans="5:64" s="8" customFormat="1" x14ac:dyDescent="0.2">
      <c r="E528" s="85"/>
      <c r="AR528" s="10"/>
      <c r="AS528" s="10"/>
      <c r="AT528" s="10"/>
      <c r="AU528" s="10"/>
      <c r="AV528" s="10"/>
      <c r="AW528" s="10"/>
      <c r="AX528" s="10"/>
      <c r="AY528" s="10"/>
      <c r="AZ528" s="10"/>
      <c r="BA528" s="10"/>
      <c r="BB528" s="10"/>
      <c r="BC528" s="10"/>
      <c r="BD528" s="10"/>
      <c r="BE528" s="10"/>
      <c r="BF528" s="10"/>
      <c r="BG528" s="10"/>
      <c r="BH528" s="10"/>
      <c r="BI528" s="10"/>
      <c r="BJ528" s="10"/>
      <c r="BK528" s="10"/>
      <c r="BL528" s="10"/>
    </row>
    <row r="529" spans="5:64" s="8" customFormat="1" x14ac:dyDescent="0.2">
      <c r="E529" s="85"/>
      <c r="AR529" s="10"/>
      <c r="AS529" s="10"/>
      <c r="AT529" s="10"/>
      <c r="AU529" s="10"/>
      <c r="AV529" s="10"/>
      <c r="AW529" s="10"/>
      <c r="AX529" s="10"/>
      <c r="AY529" s="10"/>
      <c r="AZ529" s="10"/>
      <c r="BA529" s="10"/>
      <c r="BB529" s="10"/>
      <c r="BC529" s="10"/>
      <c r="BD529" s="10"/>
      <c r="BE529" s="10"/>
      <c r="BF529" s="10"/>
      <c r="BG529" s="10"/>
      <c r="BH529" s="10"/>
      <c r="BI529" s="10"/>
      <c r="BJ529" s="10"/>
      <c r="BK529" s="10"/>
      <c r="BL529" s="10"/>
    </row>
    <row r="530" spans="5:64" s="8" customFormat="1" x14ac:dyDescent="0.2">
      <c r="E530" s="85"/>
      <c r="AR530" s="10"/>
      <c r="AS530" s="10"/>
      <c r="AT530" s="10"/>
      <c r="AU530" s="10"/>
      <c r="AV530" s="10"/>
      <c r="AW530" s="10"/>
      <c r="AX530" s="10"/>
      <c r="AY530" s="10"/>
      <c r="AZ530" s="10"/>
      <c r="BA530" s="10"/>
      <c r="BB530" s="10"/>
      <c r="BC530" s="10"/>
      <c r="BD530" s="10"/>
      <c r="BE530" s="10"/>
      <c r="BF530" s="10"/>
      <c r="BG530" s="10"/>
      <c r="BH530" s="10"/>
      <c r="BI530" s="10"/>
      <c r="BJ530" s="10"/>
      <c r="BK530" s="10"/>
      <c r="BL530" s="10"/>
    </row>
    <row r="531" spans="5:64" s="8" customFormat="1" x14ac:dyDescent="0.2">
      <c r="E531" s="85"/>
      <c r="AR531" s="10"/>
      <c r="AS531" s="10"/>
      <c r="AT531" s="10"/>
      <c r="AU531" s="10"/>
      <c r="AV531" s="10"/>
      <c r="AW531" s="10"/>
      <c r="AX531" s="10"/>
      <c r="AY531" s="10"/>
      <c r="AZ531" s="10"/>
      <c r="BA531" s="10"/>
      <c r="BB531" s="10"/>
      <c r="BC531" s="10"/>
      <c r="BD531" s="10"/>
      <c r="BE531" s="10"/>
      <c r="BF531" s="10"/>
      <c r="BG531" s="10"/>
      <c r="BH531" s="10"/>
      <c r="BI531" s="10"/>
      <c r="BJ531" s="10"/>
      <c r="BK531" s="10"/>
      <c r="BL531" s="10"/>
    </row>
    <row r="532" spans="5:64" s="8" customFormat="1" x14ac:dyDescent="0.2">
      <c r="E532" s="85"/>
      <c r="AR532" s="10"/>
      <c r="AS532" s="10"/>
      <c r="AT532" s="10"/>
      <c r="AU532" s="10"/>
      <c r="AV532" s="10"/>
      <c r="AW532" s="10"/>
      <c r="AX532" s="10"/>
      <c r="AY532" s="10"/>
      <c r="AZ532" s="10"/>
      <c r="BA532" s="10"/>
      <c r="BB532" s="10"/>
      <c r="BC532" s="10"/>
      <c r="BD532" s="10"/>
      <c r="BE532" s="10"/>
      <c r="BF532" s="10"/>
      <c r="BG532" s="10"/>
      <c r="BH532" s="10"/>
      <c r="BI532" s="10"/>
      <c r="BJ532" s="10"/>
      <c r="BK532" s="10"/>
      <c r="BL532" s="10"/>
    </row>
    <row r="533" spans="5:64" s="8" customFormat="1" x14ac:dyDescent="0.2">
      <c r="E533" s="85"/>
      <c r="AR533" s="10"/>
      <c r="AS533" s="10"/>
      <c r="AT533" s="10"/>
      <c r="AU533" s="10"/>
      <c r="AV533" s="10"/>
      <c r="AW533" s="10"/>
      <c r="AX533" s="10"/>
      <c r="AY533" s="10"/>
      <c r="AZ533" s="10"/>
      <c r="BA533" s="10"/>
      <c r="BB533" s="10"/>
      <c r="BC533" s="10"/>
      <c r="BD533" s="10"/>
      <c r="BE533" s="10"/>
      <c r="BF533" s="10"/>
      <c r="BG533" s="10"/>
      <c r="BH533" s="10"/>
      <c r="BI533" s="10"/>
      <c r="BJ533" s="10"/>
      <c r="BK533" s="10"/>
      <c r="BL533" s="10"/>
    </row>
    <row r="534" spans="5:64" s="8" customFormat="1" x14ac:dyDescent="0.2">
      <c r="E534" s="85"/>
      <c r="AR534" s="10"/>
      <c r="AS534" s="10"/>
      <c r="AT534" s="10"/>
      <c r="AU534" s="10"/>
      <c r="AV534" s="10"/>
      <c r="AW534" s="10"/>
      <c r="AX534" s="10"/>
      <c r="AY534" s="10"/>
      <c r="AZ534" s="10"/>
      <c r="BA534" s="10"/>
      <c r="BB534" s="10"/>
      <c r="BC534" s="10"/>
      <c r="BD534" s="10"/>
      <c r="BE534" s="10"/>
      <c r="BF534" s="10"/>
      <c r="BG534" s="10"/>
      <c r="BH534" s="10"/>
      <c r="BI534" s="10"/>
      <c r="BJ534" s="10"/>
      <c r="BK534" s="10"/>
      <c r="BL534" s="10"/>
    </row>
    <row r="535" spans="5:64" s="8" customFormat="1" x14ac:dyDescent="0.2">
      <c r="E535" s="85"/>
      <c r="AR535" s="10"/>
      <c r="AS535" s="10"/>
      <c r="AT535" s="10"/>
      <c r="AU535" s="10"/>
      <c r="AV535" s="10"/>
      <c r="AW535" s="10"/>
      <c r="AX535" s="10"/>
      <c r="AY535" s="10"/>
      <c r="AZ535" s="10"/>
      <c r="BA535" s="10"/>
      <c r="BB535" s="10"/>
      <c r="BC535" s="10"/>
      <c r="BD535" s="10"/>
      <c r="BE535" s="10"/>
      <c r="BF535" s="10"/>
      <c r="BG535" s="10"/>
      <c r="BH535" s="10"/>
      <c r="BI535" s="10"/>
      <c r="BJ535" s="10"/>
      <c r="BK535" s="10"/>
      <c r="BL535" s="10"/>
    </row>
    <row r="536" spans="5:64" s="8" customFormat="1" x14ac:dyDescent="0.2">
      <c r="E536" s="85"/>
      <c r="AR536" s="10"/>
      <c r="AS536" s="10"/>
      <c r="AT536" s="10"/>
      <c r="AU536" s="10"/>
      <c r="AV536" s="10"/>
      <c r="AW536" s="10"/>
      <c r="AX536" s="10"/>
      <c r="AY536" s="10"/>
      <c r="AZ536" s="10"/>
      <c r="BA536" s="10"/>
      <c r="BB536" s="10"/>
      <c r="BC536" s="10"/>
      <c r="BD536" s="10"/>
      <c r="BE536" s="10"/>
      <c r="BF536" s="10"/>
      <c r="BG536" s="10"/>
      <c r="BH536" s="10"/>
      <c r="BI536" s="10"/>
      <c r="BJ536" s="10"/>
      <c r="BK536" s="10"/>
      <c r="BL536" s="10"/>
    </row>
    <row r="537" spans="5:64" s="8" customFormat="1" x14ac:dyDescent="0.2">
      <c r="E537" s="85"/>
      <c r="AR537" s="10"/>
      <c r="AS537" s="10"/>
      <c r="AT537" s="10"/>
      <c r="AU537" s="10"/>
      <c r="AV537" s="10"/>
      <c r="AW537" s="10"/>
      <c r="AX537" s="10"/>
      <c r="AY537" s="10"/>
      <c r="AZ537" s="10"/>
      <c r="BA537" s="10"/>
      <c r="BB537" s="10"/>
      <c r="BC537" s="10"/>
      <c r="BD537" s="10"/>
      <c r="BE537" s="10"/>
      <c r="BF537" s="10"/>
      <c r="BG537" s="10"/>
      <c r="BH537" s="10"/>
      <c r="BI537" s="10"/>
      <c r="BJ537" s="10"/>
      <c r="BK537" s="10"/>
      <c r="BL537" s="10"/>
    </row>
    <row r="538" spans="5:64" s="8" customFormat="1" x14ac:dyDescent="0.2">
      <c r="E538" s="85"/>
      <c r="AR538" s="10"/>
      <c r="AS538" s="10"/>
      <c r="AT538" s="10"/>
      <c r="AU538" s="10"/>
      <c r="AV538" s="10"/>
      <c r="AW538" s="10"/>
      <c r="AX538" s="10"/>
      <c r="AY538" s="10"/>
      <c r="AZ538" s="10"/>
      <c r="BA538" s="10"/>
      <c r="BB538" s="10"/>
      <c r="BC538" s="10"/>
      <c r="BD538" s="10"/>
      <c r="BE538" s="10"/>
      <c r="BF538" s="10"/>
      <c r="BG538" s="10"/>
      <c r="BH538" s="10"/>
      <c r="BI538" s="10"/>
      <c r="BJ538" s="10"/>
      <c r="BK538" s="10"/>
      <c r="BL538" s="10"/>
    </row>
    <row r="539" spans="5:64" s="8" customFormat="1" x14ac:dyDescent="0.2">
      <c r="E539" s="85"/>
      <c r="AR539" s="10"/>
      <c r="AS539" s="10"/>
      <c r="AT539" s="10"/>
      <c r="AU539" s="10"/>
      <c r="AV539" s="10"/>
      <c r="AW539" s="10"/>
      <c r="AX539" s="10"/>
      <c r="AY539" s="10"/>
      <c r="AZ539" s="10"/>
      <c r="BA539" s="10"/>
      <c r="BB539" s="10"/>
      <c r="BC539" s="10"/>
      <c r="BD539" s="10"/>
      <c r="BE539" s="10"/>
      <c r="BF539" s="10"/>
      <c r="BG539" s="10"/>
      <c r="BH539" s="10"/>
      <c r="BI539" s="10"/>
      <c r="BJ539" s="10"/>
      <c r="BK539" s="10"/>
      <c r="BL539" s="10"/>
    </row>
    <row r="540" spans="5:64" s="8" customFormat="1" x14ac:dyDescent="0.2">
      <c r="E540" s="85"/>
      <c r="AR540" s="10"/>
      <c r="AS540" s="10"/>
      <c r="AT540" s="10"/>
      <c r="AU540" s="10"/>
      <c r="AV540" s="10"/>
      <c r="AW540" s="10"/>
      <c r="AX540" s="10"/>
      <c r="AY540" s="10"/>
      <c r="AZ540" s="10"/>
      <c r="BA540" s="10"/>
      <c r="BB540" s="10"/>
      <c r="BC540" s="10"/>
      <c r="BD540" s="10"/>
      <c r="BE540" s="10"/>
      <c r="BF540" s="10"/>
      <c r="BG540" s="10"/>
      <c r="BH540" s="10"/>
      <c r="BI540" s="10"/>
      <c r="BJ540" s="10"/>
      <c r="BK540" s="10"/>
      <c r="BL540" s="10"/>
    </row>
    <row r="541" spans="5:64" s="8" customFormat="1" x14ac:dyDescent="0.2">
      <c r="E541" s="85"/>
      <c r="AR541" s="10"/>
      <c r="AS541" s="10"/>
      <c r="AT541" s="10"/>
      <c r="AU541" s="10"/>
      <c r="AV541" s="10"/>
      <c r="AW541" s="10"/>
      <c r="AX541" s="10"/>
      <c r="AY541" s="10"/>
      <c r="AZ541" s="10"/>
      <c r="BA541" s="10"/>
      <c r="BB541" s="10"/>
      <c r="BC541" s="10"/>
      <c r="BD541" s="10"/>
      <c r="BE541" s="10"/>
      <c r="BF541" s="10"/>
      <c r="BG541" s="10"/>
      <c r="BH541" s="10"/>
      <c r="BI541" s="10"/>
      <c r="BJ541" s="10"/>
      <c r="BK541" s="10"/>
      <c r="BL541" s="10"/>
    </row>
    <row r="542" spans="5:64" s="8" customFormat="1" x14ac:dyDescent="0.2">
      <c r="E542" s="85"/>
      <c r="AR542" s="10"/>
      <c r="AS542" s="10"/>
      <c r="AT542" s="10"/>
      <c r="AU542" s="10"/>
      <c r="AV542" s="10"/>
      <c r="AW542" s="10"/>
      <c r="AX542" s="10"/>
      <c r="AY542" s="10"/>
      <c r="AZ542" s="10"/>
      <c r="BA542" s="10"/>
      <c r="BB542" s="10"/>
      <c r="BC542" s="10"/>
      <c r="BD542" s="10"/>
      <c r="BE542" s="10"/>
      <c r="BF542" s="10"/>
      <c r="BG542" s="10"/>
      <c r="BH542" s="10"/>
      <c r="BI542" s="10"/>
      <c r="BJ542" s="10"/>
      <c r="BK542" s="10"/>
      <c r="BL542" s="10"/>
    </row>
    <row r="543" spans="5:64" s="8" customFormat="1" x14ac:dyDescent="0.2">
      <c r="E543" s="85"/>
      <c r="AR543" s="10"/>
      <c r="AS543" s="10"/>
      <c r="AT543" s="10"/>
      <c r="AU543" s="10"/>
      <c r="AV543" s="10"/>
      <c r="AW543" s="10"/>
      <c r="AX543" s="10"/>
      <c r="AY543" s="10"/>
      <c r="AZ543" s="10"/>
      <c r="BA543" s="10"/>
      <c r="BB543" s="10"/>
      <c r="BC543" s="10"/>
      <c r="BD543" s="10"/>
      <c r="BE543" s="10"/>
      <c r="BF543" s="10"/>
      <c r="BG543" s="10"/>
      <c r="BH543" s="10"/>
      <c r="BI543" s="10"/>
      <c r="BJ543" s="10"/>
      <c r="BK543" s="10"/>
      <c r="BL543" s="10"/>
    </row>
    <row r="544" spans="5:64" s="8" customFormat="1" x14ac:dyDescent="0.2">
      <c r="E544" s="85"/>
      <c r="AR544" s="10"/>
      <c r="AS544" s="10"/>
      <c r="AT544" s="10"/>
      <c r="AU544" s="10"/>
      <c r="AV544" s="10"/>
      <c r="AW544" s="10"/>
      <c r="AX544" s="10"/>
      <c r="AY544" s="10"/>
      <c r="AZ544" s="10"/>
      <c r="BA544" s="10"/>
      <c r="BB544" s="10"/>
      <c r="BC544" s="10"/>
      <c r="BD544" s="10"/>
      <c r="BE544" s="10"/>
      <c r="BF544" s="10"/>
      <c r="BG544" s="10"/>
      <c r="BH544" s="10"/>
      <c r="BI544" s="10"/>
      <c r="BJ544" s="10"/>
      <c r="BK544" s="10"/>
      <c r="BL544" s="10"/>
    </row>
    <row r="545" spans="5:64" s="8" customFormat="1" x14ac:dyDescent="0.2">
      <c r="E545" s="85"/>
      <c r="AR545" s="10"/>
      <c r="AS545" s="10"/>
      <c r="AT545" s="10"/>
      <c r="AU545" s="10"/>
      <c r="AV545" s="10"/>
      <c r="AW545" s="10"/>
      <c r="AX545" s="10"/>
      <c r="AY545" s="10"/>
      <c r="AZ545" s="10"/>
      <c r="BA545" s="10"/>
      <c r="BB545" s="10"/>
      <c r="BC545" s="10"/>
      <c r="BD545" s="10"/>
      <c r="BE545" s="10"/>
      <c r="BF545" s="10"/>
      <c r="BG545" s="10"/>
      <c r="BH545" s="10"/>
      <c r="BI545" s="10"/>
      <c r="BJ545" s="10"/>
      <c r="BK545" s="10"/>
      <c r="BL545" s="10"/>
    </row>
    <row r="546" spans="5:64" s="8" customFormat="1" x14ac:dyDescent="0.2">
      <c r="E546" s="85"/>
      <c r="AR546" s="10"/>
      <c r="AS546" s="10"/>
      <c r="AT546" s="10"/>
      <c r="AU546" s="10"/>
      <c r="AV546" s="10"/>
      <c r="AW546" s="10"/>
      <c r="AX546" s="10"/>
      <c r="AY546" s="10"/>
      <c r="AZ546" s="10"/>
      <c r="BA546" s="10"/>
      <c r="BB546" s="10"/>
      <c r="BC546" s="10"/>
      <c r="BD546" s="10"/>
      <c r="BE546" s="10"/>
      <c r="BF546" s="10"/>
      <c r="BG546" s="10"/>
      <c r="BH546" s="10"/>
      <c r="BI546" s="10"/>
      <c r="BJ546" s="10"/>
      <c r="BK546" s="10"/>
      <c r="BL546" s="10"/>
    </row>
    <row r="547" spans="5:64" s="8" customFormat="1" x14ac:dyDescent="0.2">
      <c r="E547" s="85"/>
      <c r="AR547" s="10"/>
      <c r="AS547" s="10"/>
      <c r="AT547" s="10"/>
      <c r="AU547" s="10"/>
      <c r="AV547" s="10"/>
      <c r="AW547" s="10"/>
      <c r="AX547" s="10"/>
      <c r="AY547" s="10"/>
      <c r="AZ547" s="10"/>
      <c r="BA547" s="10"/>
      <c r="BB547" s="10"/>
      <c r="BC547" s="10"/>
      <c r="BD547" s="10"/>
      <c r="BE547" s="10"/>
      <c r="BF547" s="10"/>
      <c r="BG547" s="10"/>
      <c r="BH547" s="10"/>
      <c r="BI547" s="10"/>
      <c r="BJ547" s="10"/>
      <c r="BK547" s="10"/>
      <c r="BL547" s="10"/>
    </row>
    <row r="548" spans="5:64" s="8" customFormat="1" x14ac:dyDescent="0.2">
      <c r="E548" s="85"/>
      <c r="AR548" s="10"/>
      <c r="AS548" s="10"/>
      <c r="AT548" s="10"/>
      <c r="AU548" s="10"/>
      <c r="AV548" s="10"/>
      <c r="AW548" s="10"/>
      <c r="AX548" s="10"/>
      <c r="AY548" s="10"/>
      <c r="AZ548" s="10"/>
      <c r="BA548" s="10"/>
      <c r="BB548" s="10"/>
      <c r="BC548" s="10"/>
      <c r="BD548" s="10"/>
      <c r="BE548" s="10"/>
      <c r="BF548" s="10"/>
      <c r="BG548" s="10"/>
      <c r="BH548" s="10"/>
      <c r="BI548" s="10"/>
      <c r="BJ548" s="10"/>
      <c r="BK548" s="10"/>
      <c r="BL548" s="10"/>
    </row>
    <row r="549" spans="5:64" s="8" customFormat="1" x14ac:dyDescent="0.2">
      <c r="E549" s="85"/>
      <c r="AR549" s="10"/>
      <c r="AS549" s="10"/>
      <c r="AT549" s="10"/>
      <c r="AU549" s="10"/>
      <c r="AV549" s="10"/>
      <c r="AW549" s="10"/>
      <c r="AX549" s="10"/>
      <c r="AY549" s="10"/>
      <c r="AZ549" s="10"/>
      <c r="BA549" s="10"/>
      <c r="BB549" s="10"/>
      <c r="BC549" s="10"/>
      <c r="BD549" s="10"/>
      <c r="BE549" s="10"/>
      <c r="BF549" s="10"/>
      <c r="BG549" s="10"/>
      <c r="BH549" s="10"/>
      <c r="BI549" s="10"/>
      <c r="BJ549" s="10"/>
      <c r="BK549" s="10"/>
      <c r="BL549" s="10"/>
    </row>
    <row r="550" spans="5:64" s="8" customFormat="1" x14ac:dyDescent="0.2">
      <c r="E550" s="85"/>
      <c r="AR550" s="10"/>
      <c r="AS550" s="10"/>
      <c r="AT550" s="10"/>
      <c r="AU550" s="10"/>
      <c r="AV550" s="10"/>
      <c r="AW550" s="10"/>
      <c r="AX550" s="10"/>
      <c r="AY550" s="10"/>
      <c r="AZ550" s="10"/>
      <c r="BA550" s="10"/>
      <c r="BB550" s="10"/>
      <c r="BC550" s="10"/>
      <c r="BD550" s="10"/>
      <c r="BE550" s="10"/>
      <c r="BF550" s="10"/>
      <c r="BG550" s="10"/>
      <c r="BH550" s="10"/>
      <c r="BI550" s="10"/>
      <c r="BJ550" s="10"/>
      <c r="BK550" s="10"/>
      <c r="BL550" s="10"/>
    </row>
    <row r="551" spans="5:64" s="8" customFormat="1" x14ac:dyDescent="0.2">
      <c r="E551" s="85"/>
      <c r="AR551" s="10"/>
      <c r="AS551" s="10"/>
      <c r="AT551" s="10"/>
      <c r="AU551" s="10"/>
      <c r="AV551" s="10"/>
      <c r="AW551" s="10"/>
      <c r="AX551" s="10"/>
      <c r="AY551" s="10"/>
      <c r="AZ551" s="10"/>
      <c r="BA551" s="10"/>
      <c r="BB551" s="10"/>
      <c r="BC551" s="10"/>
      <c r="BD551" s="10"/>
      <c r="BE551" s="10"/>
      <c r="BF551" s="10"/>
      <c r="BG551" s="10"/>
      <c r="BH551" s="10"/>
      <c r="BI551" s="10"/>
      <c r="BJ551" s="10"/>
      <c r="BK551" s="10"/>
      <c r="BL551" s="10"/>
    </row>
    <row r="552" spans="5:64" s="8" customFormat="1" x14ac:dyDescent="0.2">
      <c r="E552" s="85"/>
      <c r="AR552" s="10"/>
      <c r="AS552" s="10"/>
      <c r="AT552" s="10"/>
      <c r="AU552" s="10"/>
      <c r="AV552" s="10"/>
      <c r="AW552" s="10"/>
      <c r="AX552" s="10"/>
      <c r="AY552" s="10"/>
      <c r="AZ552" s="10"/>
      <c r="BA552" s="10"/>
      <c r="BB552" s="10"/>
      <c r="BC552" s="10"/>
      <c r="BD552" s="10"/>
      <c r="BE552" s="10"/>
      <c r="BF552" s="10"/>
      <c r="BG552" s="10"/>
      <c r="BH552" s="10"/>
      <c r="BI552" s="10"/>
      <c r="BJ552" s="10"/>
      <c r="BK552" s="10"/>
      <c r="BL552" s="10"/>
    </row>
    <row r="553" spans="5:64" s="8" customFormat="1" x14ac:dyDescent="0.2">
      <c r="E553" s="85"/>
      <c r="AR553" s="10"/>
      <c r="AS553" s="10"/>
      <c r="AT553" s="10"/>
      <c r="AU553" s="10"/>
      <c r="AV553" s="10"/>
      <c r="AW553" s="10"/>
      <c r="AX553" s="10"/>
      <c r="AY553" s="10"/>
      <c r="AZ553" s="10"/>
      <c r="BA553" s="10"/>
      <c r="BB553" s="10"/>
      <c r="BC553" s="10"/>
      <c r="BD553" s="10"/>
      <c r="BE553" s="10"/>
      <c r="BF553" s="10"/>
      <c r="BG553" s="10"/>
      <c r="BH553" s="10"/>
      <c r="BI553" s="10"/>
      <c r="BJ553" s="10"/>
      <c r="BK553" s="10"/>
      <c r="BL553" s="10"/>
    </row>
    <row r="554" spans="5:64" s="8" customFormat="1" x14ac:dyDescent="0.2">
      <c r="E554" s="85"/>
      <c r="AR554" s="10"/>
      <c r="AS554" s="10"/>
      <c r="AT554" s="10"/>
      <c r="AU554" s="10"/>
      <c r="AV554" s="10"/>
      <c r="AW554" s="10"/>
      <c r="AX554" s="10"/>
      <c r="AY554" s="10"/>
      <c r="AZ554" s="10"/>
      <c r="BA554" s="10"/>
      <c r="BB554" s="10"/>
      <c r="BC554" s="10"/>
      <c r="BD554" s="10"/>
      <c r="BE554" s="10"/>
      <c r="BF554" s="10"/>
      <c r="BG554" s="10"/>
      <c r="BH554" s="10"/>
      <c r="BI554" s="10"/>
      <c r="BJ554" s="10"/>
      <c r="BK554" s="10"/>
      <c r="BL554" s="10"/>
    </row>
    <row r="555" spans="5:64" s="8" customFormat="1" x14ac:dyDescent="0.2">
      <c r="E555" s="85"/>
      <c r="AR555" s="10"/>
      <c r="AS555" s="10"/>
      <c r="AT555" s="10"/>
      <c r="AU555" s="10"/>
      <c r="AV555" s="10"/>
      <c r="AW555" s="10"/>
      <c r="AX555" s="10"/>
      <c r="AY555" s="10"/>
      <c r="AZ555" s="10"/>
      <c r="BA555" s="10"/>
      <c r="BB555" s="10"/>
      <c r="BC555" s="10"/>
      <c r="BD555" s="10"/>
      <c r="BE555" s="10"/>
      <c r="BF555" s="10"/>
      <c r="BG555" s="10"/>
      <c r="BH555" s="10"/>
      <c r="BI555" s="10"/>
      <c r="BJ555" s="10"/>
      <c r="BK555" s="10"/>
      <c r="BL555" s="10"/>
    </row>
    <row r="556" spans="5:64" s="8" customFormat="1" x14ac:dyDescent="0.2">
      <c r="E556" s="85"/>
      <c r="AR556" s="10"/>
      <c r="AS556" s="10"/>
      <c r="AT556" s="10"/>
      <c r="AU556" s="10"/>
      <c r="AV556" s="10"/>
      <c r="AW556" s="10"/>
      <c r="AX556" s="10"/>
      <c r="AY556" s="10"/>
      <c r="AZ556" s="10"/>
      <c r="BA556" s="10"/>
      <c r="BB556" s="10"/>
      <c r="BC556" s="10"/>
      <c r="BD556" s="10"/>
      <c r="BE556" s="10"/>
      <c r="BF556" s="10"/>
      <c r="BG556" s="10"/>
      <c r="BH556" s="10"/>
      <c r="BI556" s="10"/>
      <c r="BJ556" s="10"/>
      <c r="BK556" s="10"/>
      <c r="BL556" s="10"/>
    </row>
    <row r="557" spans="5:64" s="8" customFormat="1" x14ac:dyDescent="0.2">
      <c r="E557" s="85"/>
      <c r="AR557" s="10"/>
      <c r="AS557" s="10"/>
      <c r="AT557" s="10"/>
      <c r="AU557" s="10"/>
      <c r="AV557" s="10"/>
      <c r="AW557" s="10"/>
      <c r="AX557" s="10"/>
      <c r="AY557" s="10"/>
      <c r="AZ557" s="10"/>
      <c r="BA557" s="10"/>
      <c r="BB557" s="10"/>
      <c r="BC557" s="10"/>
      <c r="BD557" s="10"/>
      <c r="BE557" s="10"/>
      <c r="BF557" s="10"/>
      <c r="BG557" s="10"/>
      <c r="BH557" s="10"/>
      <c r="BI557" s="10"/>
      <c r="BJ557" s="10"/>
      <c r="BK557" s="10"/>
      <c r="BL557" s="10"/>
    </row>
    <row r="558" spans="5:64" s="8" customFormat="1" x14ac:dyDescent="0.2">
      <c r="E558" s="85"/>
      <c r="AR558" s="10"/>
      <c r="AS558" s="10"/>
      <c r="AT558" s="10"/>
      <c r="AU558" s="10"/>
      <c r="AV558" s="10"/>
      <c r="AW558" s="10"/>
      <c r="AX558" s="10"/>
      <c r="AY558" s="10"/>
      <c r="AZ558" s="10"/>
      <c r="BA558" s="10"/>
      <c r="BB558" s="10"/>
      <c r="BC558" s="10"/>
      <c r="BD558" s="10"/>
      <c r="BE558" s="10"/>
      <c r="BF558" s="10"/>
      <c r="BG558" s="10"/>
      <c r="BH558" s="10"/>
      <c r="BI558" s="10"/>
      <c r="BJ558" s="10"/>
      <c r="BK558" s="10"/>
      <c r="BL558" s="10"/>
    </row>
    <row r="559" spans="5:64" s="8" customFormat="1" x14ac:dyDescent="0.2">
      <c r="E559" s="85"/>
      <c r="AR559" s="10"/>
      <c r="AS559" s="10"/>
      <c r="AT559" s="10"/>
      <c r="AU559" s="10"/>
      <c r="AV559" s="10"/>
      <c r="AW559" s="10"/>
      <c r="AX559" s="10"/>
      <c r="AY559" s="10"/>
      <c r="AZ559" s="10"/>
      <c r="BA559" s="10"/>
      <c r="BB559" s="10"/>
      <c r="BC559" s="10"/>
      <c r="BD559" s="10"/>
      <c r="BE559" s="10"/>
      <c r="BF559" s="10"/>
      <c r="BG559" s="10"/>
      <c r="BH559" s="10"/>
      <c r="BI559" s="10"/>
      <c r="BJ559" s="10"/>
      <c r="BK559" s="10"/>
      <c r="BL559" s="10"/>
    </row>
    <row r="560" spans="5:64" s="8" customFormat="1" x14ac:dyDescent="0.2">
      <c r="E560" s="85"/>
      <c r="AR560" s="10"/>
      <c r="AS560" s="10"/>
      <c r="AT560" s="10"/>
      <c r="AU560" s="10"/>
      <c r="AV560" s="10"/>
      <c r="AW560" s="10"/>
      <c r="AX560" s="10"/>
      <c r="AY560" s="10"/>
      <c r="AZ560" s="10"/>
      <c r="BA560" s="10"/>
      <c r="BB560" s="10"/>
      <c r="BC560" s="10"/>
      <c r="BD560" s="10"/>
      <c r="BE560" s="10"/>
      <c r="BF560" s="10"/>
      <c r="BG560" s="10"/>
      <c r="BH560" s="10"/>
      <c r="BI560" s="10"/>
      <c r="BJ560" s="10"/>
      <c r="BK560" s="10"/>
      <c r="BL560" s="10"/>
    </row>
    <row r="561" spans="5:64" s="8" customFormat="1" x14ac:dyDescent="0.2">
      <c r="E561" s="85"/>
      <c r="AR561" s="10"/>
      <c r="AS561" s="10"/>
      <c r="AT561" s="10"/>
      <c r="AU561" s="10"/>
      <c r="AV561" s="10"/>
      <c r="AW561" s="10"/>
      <c r="AX561" s="10"/>
      <c r="AY561" s="10"/>
      <c r="AZ561" s="10"/>
      <c r="BA561" s="10"/>
      <c r="BB561" s="10"/>
      <c r="BC561" s="10"/>
      <c r="BD561" s="10"/>
      <c r="BE561" s="10"/>
      <c r="BF561" s="10"/>
      <c r="BG561" s="10"/>
      <c r="BH561" s="10"/>
      <c r="BI561" s="10"/>
      <c r="BJ561" s="10"/>
      <c r="BK561" s="10"/>
      <c r="BL561" s="10"/>
    </row>
    <row r="562" spans="5:64" s="8" customFormat="1" x14ac:dyDescent="0.2">
      <c r="E562" s="85"/>
      <c r="AR562" s="10"/>
      <c r="AS562" s="10"/>
      <c r="AT562" s="10"/>
      <c r="AU562" s="10"/>
      <c r="AV562" s="10"/>
      <c r="AW562" s="10"/>
      <c r="AX562" s="10"/>
      <c r="AY562" s="10"/>
      <c r="AZ562" s="10"/>
      <c r="BA562" s="10"/>
      <c r="BB562" s="10"/>
      <c r="BC562" s="10"/>
      <c r="BD562" s="10"/>
      <c r="BE562" s="10"/>
      <c r="BF562" s="10"/>
      <c r="BG562" s="10"/>
      <c r="BH562" s="10"/>
      <c r="BI562" s="10"/>
      <c r="BJ562" s="10"/>
      <c r="BK562" s="10"/>
      <c r="BL562" s="10"/>
    </row>
    <row r="563" spans="5:64" s="8" customFormat="1" x14ac:dyDescent="0.2">
      <c r="E563" s="85"/>
      <c r="AR563" s="10"/>
      <c r="AS563" s="10"/>
      <c r="AT563" s="10"/>
      <c r="AU563" s="10"/>
      <c r="AV563" s="10"/>
      <c r="AW563" s="10"/>
      <c r="AX563" s="10"/>
      <c r="AY563" s="10"/>
      <c r="AZ563" s="10"/>
      <c r="BA563" s="10"/>
      <c r="BB563" s="10"/>
      <c r="BC563" s="10"/>
      <c r="BD563" s="10"/>
      <c r="BE563" s="10"/>
      <c r="BF563" s="10"/>
      <c r="BG563" s="10"/>
      <c r="BH563" s="10"/>
      <c r="BI563" s="10"/>
      <c r="BJ563" s="10"/>
      <c r="BK563" s="10"/>
      <c r="BL563" s="10"/>
    </row>
    <row r="564" spans="5:64" s="8" customFormat="1" x14ac:dyDescent="0.2">
      <c r="E564" s="85"/>
      <c r="AR564" s="10"/>
      <c r="AS564" s="10"/>
      <c r="AT564" s="10"/>
      <c r="AU564" s="10"/>
      <c r="AV564" s="10"/>
      <c r="AW564" s="10"/>
      <c r="AX564" s="10"/>
      <c r="AY564" s="10"/>
      <c r="AZ564" s="10"/>
      <c r="BA564" s="10"/>
      <c r="BB564" s="10"/>
      <c r="BC564" s="10"/>
      <c r="BD564" s="10"/>
      <c r="BE564" s="10"/>
      <c r="BF564" s="10"/>
      <c r="BG564" s="10"/>
      <c r="BH564" s="10"/>
      <c r="BI564" s="10"/>
      <c r="BJ564" s="10"/>
      <c r="BK564" s="10"/>
      <c r="BL564" s="10"/>
    </row>
    <row r="565" spans="5:64" s="8" customFormat="1" x14ac:dyDescent="0.2">
      <c r="E565" s="85"/>
      <c r="AR565" s="10"/>
      <c r="AS565" s="10"/>
      <c r="AT565" s="10"/>
      <c r="AU565" s="10"/>
      <c r="AV565" s="10"/>
      <c r="AW565" s="10"/>
      <c r="AX565" s="10"/>
      <c r="AY565" s="10"/>
      <c r="AZ565" s="10"/>
      <c r="BA565" s="10"/>
      <c r="BB565" s="10"/>
      <c r="BC565" s="10"/>
      <c r="BD565" s="10"/>
      <c r="BE565" s="10"/>
      <c r="BF565" s="10"/>
      <c r="BG565" s="10"/>
      <c r="BH565" s="10"/>
      <c r="BI565" s="10"/>
      <c r="BJ565" s="10"/>
      <c r="BK565" s="10"/>
      <c r="BL565" s="10"/>
    </row>
    <row r="566" spans="5:64" s="8" customFormat="1" x14ac:dyDescent="0.2">
      <c r="E566" s="85"/>
      <c r="AR566" s="10"/>
      <c r="AS566" s="10"/>
      <c r="AT566" s="10"/>
      <c r="AU566" s="10"/>
      <c r="AV566" s="10"/>
      <c r="AW566" s="10"/>
      <c r="AX566" s="10"/>
      <c r="AY566" s="10"/>
      <c r="AZ566" s="10"/>
      <c r="BA566" s="10"/>
      <c r="BB566" s="10"/>
      <c r="BC566" s="10"/>
      <c r="BD566" s="10"/>
      <c r="BE566" s="10"/>
      <c r="BF566" s="10"/>
      <c r="BG566" s="10"/>
      <c r="BH566" s="10"/>
      <c r="BI566" s="10"/>
      <c r="BJ566" s="10"/>
      <c r="BK566" s="10"/>
      <c r="BL566" s="10"/>
    </row>
    <row r="567" spans="5:64" s="8" customFormat="1" x14ac:dyDescent="0.2">
      <c r="E567" s="85"/>
      <c r="AR567" s="10"/>
      <c r="AS567" s="10"/>
      <c r="AT567" s="10"/>
      <c r="AU567" s="10"/>
      <c r="AV567" s="10"/>
      <c r="AW567" s="10"/>
      <c r="AX567" s="10"/>
      <c r="AY567" s="10"/>
      <c r="AZ567" s="10"/>
      <c r="BA567" s="10"/>
      <c r="BB567" s="10"/>
      <c r="BC567" s="10"/>
      <c r="BD567" s="10"/>
      <c r="BE567" s="10"/>
      <c r="BF567" s="10"/>
      <c r="BG567" s="10"/>
      <c r="BH567" s="10"/>
      <c r="BI567" s="10"/>
      <c r="BJ567" s="10"/>
      <c r="BK567" s="10"/>
      <c r="BL567" s="10"/>
    </row>
    <row r="568" spans="5:64" s="8" customFormat="1" x14ac:dyDescent="0.2">
      <c r="E568" s="85"/>
      <c r="AR568" s="10"/>
      <c r="AS568" s="10"/>
      <c r="AT568" s="10"/>
      <c r="AU568" s="10"/>
      <c r="AV568" s="10"/>
      <c r="AW568" s="10"/>
      <c r="AX568" s="10"/>
      <c r="AY568" s="10"/>
      <c r="AZ568" s="10"/>
      <c r="BA568" s="10"/>
      <c r="BB568" s="10"/>
      <c r="BC568" s="10"/>
      <c r="BD568" s="10"/>
      <c r="BE568" s="10"/>
      <c r="BF568" s="10"/>
      <c r="BG568" s="10"/>
      <c r="BH568" s="10"/>
      <c r="BI568" s="10"/>
      <c r="BJ568" s="10"/>
      <c r="BK568" s="10"/>
      <c r="BL568" s="10"/>
    </row>
    <row r="569" spans="5:64" s="8" customFormat="1" x14ac:dyDescent="0.2">
      <c r="E569" s="85"/>
      <c r="AR569" s="10"/>
      <c r="AS569" s="10"/>
      <c r="AT569" s="10"/>
      <c r="AU569" s="10"/>
      <c r="AV569" s="10"/>
      <c r="AW569" s="10"/>
      <c r="AX569" s="10"/>
      <c r="AY569" s="10"/>
      <c r="AZ569" s="10"/>
      <c r="BA569" s="10"/>
      <c r="BB569" s="10"/>
      <c r="BC569" s="10"/>
      <c r="BD569" s="10"/>
      <c r="BE569" s="10"/>
      <c r="BF569" s="10"/>
      <c r="BG569" s="10"/>
      <c r="BH569" s="10"/>
      <c r="BI569" s="10"/>
      <c r="BJ569" s="10"/>
      <c r="BK569" s="10"/>
      <c r="BL569" s="10"/>
    </row>
    <row r="570" spans="5:64" s="8" customFormat="1" x14ac:dyDescent="0.2">
      <c r="E570" s="85"/>
      <c r="AR570" s="10"/>
      <c r="AS570" s="10"/>
      <c r="AT570" s="10"/>
      <c r="AU570" s="10"/>
      <c r="AV570" s="10"/>
      <c r="AW570" s="10"/>
      <c r="AX570" s="10"/>
      <c r="AY570" s="10"/>
      <c r="AZ570" s="10"/>
      <c r="BA570" s="10"/>
      <c r="BB570" s="10"/>
      <c r="BC570" s="10"/>
      <c r="BD570" s="10"/>
      <c r="BE570" s="10"/>
      <c r="BF570" s="10"/>
      <c r="BG570" s="10"/>
      <c r="BH570" s="10"/>
      <c r="BI570" s="10"/>
      <c r="BJ570" s="10"/>
      <c r="BK570" s="10"/>
      <c r="BL570" s="10"/>
    </row>
    <row r="571" spans="5:64" s="8" customFormat="1" x14ac:dyDescent="0.2">
      <c r="E571" s="85"/>
      <c r="AR571" s="10"/>
      <c r="AS571" s="10"/>
      <c r="AT571" s="10"/>
      <c r="AU571" s="10"/>
      <c r="AV571" s="10"/>
      <c r="AW571" s="10"/>
      <c r="AX571" s="10"/>
      <c r="AY571" s="10"/>
      <c r="AZ571" s="10"/>
      <c r="BA571" s="10"/>
      <c r="BB571" s="10"/>
      <c r="BC571" s="10"/>
      <c r="BD571" s="10"/>
      <c r="BE571" s="10"/>
      <c r="BF571" s="10"/>
      <c r="BG571" s="10"/>
      <c r="BH571" s="10"/>
      <c r="BI571" s="10"/>
      <c r="BJ571" s="10"/>
      <c r="BK571" s="10"/>
      <c r="BL571" s="10"/>
    </row>
    <row r="572" spans="5:64" s="8" customFormat="1" x14ac:dyDescent="0.2">
      <c r="E572" s="85"/>
      <c r="AR572" s="10"/>
      <c r="AS572" s="10"/>
      <c r="AT572" s="10"/>
      <c r="AU572" s="10"/>
      <c r="AV572" s="10"/>
      <c r="AW572" s="10"/>
      <c r="AX572" s="10"/>
      <c r="AY572" s="10"/>
      <c r="AZ572" s="10"/>
      <c r="BA572" s="10"/>
      <c r="BB572" s="10"/>
      <c r="BC572" s="10"/>
      <c r="BD572" s="10"/>
      <c r="BE572" s="10"/>
      <c r="BF572" s="10"/>
      <c r="BG572" s="10"/>
      <c r="BH572" s="10"/>
      <c r="BI572" s="10"/>
      <c r="BJ572" s="10"/>
      <c r="BK572" s="10"/>
      <c r="BL572" s="10"/>
    </row>
    <row r="573" spans="5:64" s="8" customFormat="1" x14ac:dyDescent="0.2">
      <c r="E573" s="85"/>
      <c r="AR573" s="10"/>
      <c r="AS573" s="10"/>
      <c r="AT573" s="10"/>
      <c r="AU573" s="10"/>
      <c r="AV573" s="10"/>
      <c r="AW573" s="10"/>
      <c r="AX573" s="10"/>
      <c r="AY573" s="10"/>
      <c r="AZ573" s="10"/>
      <c r="BA573" s="10"/>
      <c r="BB573" s="10"/>
      <c r="BC573" s="10"/>
      <c r="BD573" s="10"/>
      <c r="BE573" s="10"/>
      <c r="BF573" s="10"/>
      <c r="BG573" s="10"/>
      <c r="BH573" s="10"/>
      <c r="BI573" s="10"/>
      <c r="BJ573" s="10"/>
      <c r="BK573" s="10"/>
      <c r="BL573" s="10"/>
    </row>
    <row r="574" spans="5:64" s="8" customFormat="1" x14ac:dyDescent="0.2">
      <c r="E574" s="85"/>
      <c r="AR574" s="10"/>
      <c r="AS574" s="10"/>
      <c r="AT574" s="10"/>
      <c r="AU574" s="10"/>
      <c r="AV574" s="10"/>
      <c r="AW574" s="10"/>
      <c r="AX574" s="10"/>
      <c r="AY574" s="10"/>
      <c r="AZ574" s="10"/>
      <c r="BA574" s="10"/>
      <c r="BB574" s="10"/>
      <c r="BC574" s="10"/>
      <c r="BD574" s="10"/>
      <c r="BE574" s="10"/>
      <c r="BF574" s="10"/>
      <c r="BG574" s="10"/>
      <c r="BH574" s="10"/>
      <c r="BI574" s="10"/>
      <c r="BJ574" s="10"/>
      <c r="BK574" s="10"/>
      <c r="BL574" s="10"/>
    </row>
    <row r="575" spans="5:64" s="8" customFormat="1" x14ac:dyDescent="0.2">
      <c r="E575" s="85"/>
      <c r="AR575" s="10"/>
      <c r="AS575" s="10"/>
      <c r="AT575" s="10"/>
      <c r="AU575" s="10"/>
      <c r="AV575" s="10"/>
      <c r="AW575" s="10"/>
      <c r="AX575" s="10"/>
      <c r="AY575" s="10"/>
      <c r="AZ575" s="10"/>
      <c r="BA575" s="10"/>
      <c r="BB575" s="10"/>
      <c r="BC575" s="10"/>
      <c r="BD575" s="10"/>
      <c r="BE575" s="10"/>
      <c r="BF575" s="10"/>
      <c r="BG575" s="10"/>
      <c r="BH575" s="10"/>
      <c r="BI575" s="10"/>
      <c r="BJ575" s="10"/>
      <c r="BK575" s="10"/>
      <c r="BL575" s="10"/>
    </row>
    <row r="576" spans="5:64" s="8" customFormat="1" x14ac:dyDescent="0.2">
      <c r="E576" s="85"/>
      <c r="AR576" s="10"/>
      <c r="AS576" s="10"/>
      <c r="AT576" s="10"/>
      <c r="AU576" s="10"/>
      <c r="AV576" s="10"/>
      <c r="AW576" s="10"/>
      <c r="AX576" s="10"/>
      <c r="AY576" s="10"/>
      <c r="AZ576" s="10"/>
      <c r="BA576" s="10"/>
      <c r="BB576" s="10"/>
      <c r="BC576" s="10"/>
      <c r="BD576" s="10"/>
      <c r="BE576" s="10"/>
      <c r="BF576" s="10"/>
      <c r="BG576" s="10"/>
      <c r="BH576" s="10"/>
      <c r="BI576" s="10"/>
      <c r="BJ576" s="10"/>
      <c r="BK576" s="10"/>
      <c r="BL576" s="10"/>
    </row>
    <row r="577" spans="5:64" s="8" customFormat="1" x14ac:dyDescent="0.2">
      <c r="E577" s="85"/>
      <c r="AR577" s="10"/>
      <c r="AS577" s="10"/>
      <c r="AT577" s="10"/>
      <c r="AU577" s="10"/>
      <c r="AV577" s="10"/>
      <c r="AW577" s="10"/>
      <c r="AX577" s="10"/>
      <c r="AY577" s="10"/>
      <c r="AZ577" s="10"/>
      <c r="BA577" s="10"/>
      <c r="BB577" s="10"/>
      <c r="BC577" s="10"/>
      <c r="BD577" s="10"/>
      <c r="BE577" s="10"/>
      <c r="BF577" s="10"/>
      <c r="BG577" s="10"/>
      <c r="BH577" s="10"/>
      <c r="BI577" s="10"/>
      <c r="BJ577" s="10"/>
      <c r="BK577" s="10"/>
      <c r="BL577" s="10"/>
    </row>
    <row r="578" spans="5:64" s="8" customFormat="1" x14ac:dyDescent="0.2">
      <c r="E578" s="85"/>
      <c r="AR578" s="10"/>
      <c r="AS578" s="10"/>
      <c r="AT578" s="10"/>
      <c r="AU578" s="10"/>
      <c r="AV578" s="10"/>
      <c r="AW578" s="10"/>
      <c r="AX578" s="10"/>
      <c r="AY578" s="10"/>
      <c r="AZ578" s="10"/>
      <c r="BA578" s="10"/>
      <c r="BB578" s="10"/>
      <c r="BC578" s="10"/>
      <c r="BD578" s="10"/>
      <c r="BE578" s="10"/>
      <c r="BF578" s="10"/>
      <c r="BG578" s="10"/>
      <c r="BH578" s="10"/>
      <c r="BI578" s="10"/>
      <c r="BJ578" s="10"/>
      <c r="BK578" s="10"/>
      <c r="BL578" s="10"/>
    </row>
    <row r="579" spans="5:64" s="8" customFormat="1" x14ac:dyDescent="0.2">
      <c r="E579" s="85"/>
      <c r="AR579" s="10"/>
      <c r="AS579" s="10"/>
      <c r="AT579" s="10"/>
      <c r="AU579" s="10"/>
      <c r="AV579" s="10"/>
      <c r="AW579" s="10"/>
      <c r="AX579" s="10"/>
      <c r="AY579" s="10"/>
      <c r="AZ579" s="10"/>
      <c r="BA579" s="10"/>
      <c r="BB579" s="10"/>
      <c r="BC579" s="10"/>
      <c r="BD579" s="10"/>
      <c r="BE579" s="10"/>
      <c r="BF579" s="10"/>
      <c r="BG579" s="10"/>
      <c r="BH579" s="10"/>
      <c r="BI579" s="10"/>
      <c r="BJ579" s="10"/>
      <c r="BK579" s="10"/>
      <c r="BL579" s="10"/>
    </row>
    <row r="580" spans="5:64" s="8" customFormat="1" x14ac:dyDescent="0.2">
      <c r="E580" s="85"/>
      <c r="AR580" s="10"/>
      <c r="AS580" s="10"/>
      <c r="AT580" s="10"/>
      <c r="AU580" s="10"/>
      <c r="AV580" s="10"/>
      <c r="AW580" s="10"/>
      <c r="AX580" s="10"/>
      <c r="AY580" s="10"/>
      <c r="AZ580" s="10"/>
      <c r="BA580" s="10"/>
      <c r="BB580" s="10"/>
      <c r="BC580" s="10"/>
      <c r="BD580" s="10"/>
      <c r="BE580" s="10"/>
      <c r="BF580" s="10"/>
      <c r="BG580" s="10"/>
      <c r="BH580" s="10"/>
      <c r="BI580" s="10"/>
      <c r="BJ580" s="10"/>
      <c r="BK580" s="10"/>
      <c r="BL580" s="10"/>
    </row>
    <row r="581" spans="5:64" s="8" customFormat="1" x14ac:dyDescent="0.2">
      <c r="E581" s="85"/>
      <c r="AR581" s="10"/>
      <c r="AS581" s="10"/>
      <c r="AT581" s="10"/>
      <c r="AU581" s="10"/>
      <c r="AV581" s="10"/>
      <c r="AW581" s="10"/>
      <c r="AX581" s="10"/>
      <c r="AY581" s="10"/>
      <c r="AZ581" s="10"/>
      <c r="BA581" s="10"/>
      <c r="BB581" s="10"/>
      <c r="BC581" s="10"/>
      <c r="BD581" s="10"/>
      <c r="BE581" s="10"/>
      <c r="BF581" s="10"/>
      <c r="BG581" s="10"/>
      <c r="BH581" s="10"/>
      <c r="BI581" s="10"/>
      <c r="BJ581" s="10"/>
      <c r="BK581" s="10"/>
      <c r="BL581" s="10"/>
    </row>
    <row r="582" spans="5:64" s="8" customFormat="1" x14ac:dyDescent="0.2">
      <c r="E582" s="85"/>
      <c r="AR582" s="10"/>
      <c r="AS582" s="10"/>
      <c r="AT582" s="10"/>
      <c r="AU582" s="10"/>
      <c r="AV582" s="10"/>
      <c r="AW582" s="10"/>
      <c r="AX582" s="10"/>
      <c r="AY582" s="10"/>
      <c r="AZ582" s="10"/>
      <c r="BA582" s="10"/>
      <c r="BB582" s="10"/>
      <c r="BC582" s="10"/>
      <c r="BD582" s="10"/>
      <c r="BE582" s="10"/>
      <c r="BF582" s="10"/>
      <c r="BG582" s="10"/>
      <c r="BH582" s="10"/>
      <c r="BI582" s="10"/>
      <c r="BJ582" s="10"/>
      <c r="BK582" s="10"/>
      <c r="BL582" s="10"/>
    </row>
    <row r="583" spans="5:64" s="8" customFormat="1" x14ac:dyDescent="0.2">
      <c r="E583" s="85"/>
      <c r="AR583" s="10"/>
      <c r="AS583" s="10"/>
      <c r="AT583" s="10"/>
      <c r="AU583" s="10"/>
      <c r="AV583" s="10"/>
      <c r="AW583" s="10"/>
      <c r="AX583" s="10"/>
      <c r="AY583" s="10"/>
      <c r="AZ583" s="10"/>
      <c r="BA583" s="10"/>
      <c r="BB583" s="10"/>
      <c r="BC583" s="10"/>
      <c r="BD583" s="10"/>
      <c r="BE583" s="10"/>
      <c r="BF583" s="10"/>
      <c r="BG583" s="10"/>
      <c r="BH583" s="10"/>
      <c r="BI583" s="10"/>
      <c r="BJ583" s="10"/>
      <c r="BK583" s="10"/>
      <c r="BL583" s="10"/>
    </row>
    <row r="584" spans="5:64" s="8" customFormat="1" x14ac:dyDescent="0.2">
      <c r="E584" s="85"/>
      <c r="AR584" s="10"/>
      <c r="AS584" s="10"/>
      <c r="AT584" s="10"/>
      <c r="AU584" s="10"/>
      <c r="AV584" s="10"/>
      <c r="AW584" s="10"/>
      <c r="AX584" s="10"/>
      <c r="AY584" s="10"/>
      <c r="AZ584" s="10"/>
      <c r="BA584" s="10"/>
      <c r="BB584" s="10"/>
      <c r="BC584" s="10"/>
      <c r="BD584" s="10"/>
      <c r="BE584" s="10"/>
      <c r="BF584" s="10"/>
      <c r="BG584" s="10"/>
      <c r="BH584" s="10"/>
      <c r="BI584" s="10"/>
      <c r="BJ584" s="10"/>
      <c r="BK584" s="10"/>
      <c r="BL584" s="10"/>
    </row>
    <row r="585" spans="5:64" s="8" customFormat="1" x14ac:dyDescent="0.2">
      <c r="E585" s="85"/>
      <c r="AR585" s="10"/>
      <c r="AS585" s="10"/>
      <c r="AT585" s="10"/>
      <c r="AU585" s="10"/>
      <c r="AV585" s="10"/>
      <c r="AW585" s="10"/>
      <c r="AX585" s="10"/>
      <c r="AY585" s="10"/>
      <c r="AZ585" s="10"/>
      <c r="BA585" s="10"/>
      <c r="BB585" s="10"/>
      <c r="BC585" s="10"/>
      <c r="BD585" s="10"/>
      <c r="BE585" s="10"/>
      <c r="BF585" s="10"/>
      <c r="BG585" s="10"/>
      <c r="BH585" s="10"/>
      <c r="BI585" s="10"/>
      <c r="BJ585" s="10"/>
      <c r="BK585" s="10"/>
      <c r="BL585" s="10"/>
    </row>
    <row r="586" spans="5:64" s="8" customFormat="1" x14ac:dyDescent="0.2">
      <c r="E586" s="85"/>
      <c r="AR586" s="10"/>
      <c r="AS586" s="10"/>
      <c r="AT586" s="10"/>
      <c r="AU586" s="10"/>
      <c r="AV586" s="10"/>
      <c r="AW586" s="10"/>
      <c r="AX586" s="10"/>
      <c r="AY586" s="10"/>
      <c r="AZ586" s="10"/>
      <c r="BA586" s="10"/>
      <c r="BB586" s="10"/>
      <c r="BC586" s="10"/>
      <c r="BD586" s="10"/>
      <c r="BE586" s="10"/>
      <c r="BF586" s="10"/>
      <c r="BG586" s="10"/>
      <c r="BH586" s="10"/>
      <c r="BI586" s="10"/>
      <c r="BJ586" s="10"/>
      <c r="BK586" s="10"/>
      <c r="BL586" s="10"/>
    </row>
    <row r="587" spans="5:64" s="8" customFormat="1" x14ac:dyDescent="0.2">
      <c r="E587" s="85"/>
      <c r="AR587" s="10"/>
      <c r="AS587" s="10"/>
      <c r="AT587" s="10"/>
      <c r="AU587" s="10"/>
      <c r="AV587" s="10"/>
      <c r="AW587" s="10"/>
      <c r="AX587" s="10"/>
      <c r="AY587" s="10"/>
      <c r="AZ587" s="10"/>
      <c r="BA587" s="10"/>
      <c r="BB587" s="10"/>
      <c r="BC587" s="10"/>
      <c r="BD587" s="10"/>
      <c r="BE587" s="10"/>
      <c r="BF587" s="10"/>
      <c r="BG587" s="10"/>
      <c r="BH587" s="10"/>
      <c r="BI587" s="10"/>
      <c r="BJ587" s="10"/>
      <c r="BK587" s="10"/>
      <c r="BL587" s="10"/>
    </row>
    <row r="588" spans="5:64" s="8" customFormat="1" x14ac:dyDescent="0.2">
      <c r="E588" s="85"/>
      <c r="AR588" s="10"/>
      <c r="AS588" s="10"/>
      <c r="AT588" s="10"/>
      <c r="AU588" s="10"/>
      <c r="AV588" s="10"/>
      <c r="AW588" s="10"/>
      <c r="AX588" s="10"/>
      <c r="AY588" s="10"/>
      <c r="AZ588" s="10"/>
      <c r="BA588" s="10"/>
      <c r="BB588" s="10"/>
      <c r="BC588" s="10"/>
      <c r="BD588" s="10"/>
      <c r="BE588" s="10"/>
      <c r="BF588" s="10"/>
      <c r="BG588" s="10"/>
      <c r="BH588" s="10"/>
      <c r="BI588" s="10"/>
      <c r="BJ588" s="10"/>
      <c r="BK588" s="10"/>
      <c r="BL588" s="10"/>
    </row>
    <row r="589" spans="5:64" s="8" customFormat="1" x14ac:dyDescent="0.2">
      <c r="E589" s="85"/>
      <c r="AR589" s="10"/>
      <c r="AS589" s="10"/>
      <c r="AT589" s="10"/>
      <c r="AU589" s="10"/>
      <c r="AV589" s="10"/>
      <c r="AW589" s="10"/>
      <c r="AX589" s="10"/>
      <c r="AY589" s="10"/>
      <c r="AZ589" s="10"/>
      <c r="BA589" s="10"/>
      <c r="BB589" s="10"/>
      <c r="BC589" s="10"/>
      <c r="BD589" s="10"/>
      <c r="BE589" s="10"/>
      <c r="BF589" s="10"/>
      <c r="BG589" s="10"/>
      <c r="BH589" s="10"/>
      <c r="BI589" s="10"/>
      <c r="BJ589" s="10"/>
      <c r="BK589" s="10"/>
      <c r="BL589" s="10"/>
    </row>
    <row r="590" spans="5:64" s="8" customFormat="1" x14ac:dyDescent="0.2">
      <c r="E590" s="85"/>
      <c r="AR590" s="10"/>
      <c r="AS590" s="10"/>
      <c r="AT590" s="10"/>
      <c r="AU590" s="10"/>
      <c r="AV590" s="10"/>
      <c r="AW590" s="10"/>
      <c r="AX590" s="10"/>
      <c r="AY590" s="10"/>
      <c r="AZ590" s="10"/>
      <c r="BA590" s="10"/>
      <c r="BB590" s="10"/>
      <c r="BC590" s="10"/>
      <c r="BD590" s="10"/>
      <c r="BE590" s="10"/>
      <c r="BF590" s="10"/>
      <c r="BG590" s="10"/>
      <c r="BH590" s="10"/>
      <c r="BI590" s="10"/>
      <c r="BJ590" s="10"/>
      <c r="BK590" s="10"/>
      <c r="BL590" s="10"/>
    </row>
    <row r="591" spans="5:64" s="8" customFormat="1" x14ac:dyDescent="0.2">
      <c r="E591" s="85"/>
      <c r="AR591" s="10"/>
      <c r="AS591" s="10"/>
      <c r="AT591" s="10"/>
      <c r="AU591" s="10"/>
      <c r="AV591" s="10"/>
      <c r="AW591" s="10"/>
      <c r="AX591" s="10"/>
      <c r="AY591" s="10"/>
      <c r="AZ591" s="10"/>
      <c r="BA591" s="10"/>
      <c r="BB591" s="10"/>
      <c r="BC591" s="10"/>
      <c r="BD591" s="10"/>
      <c r="BE591" s="10"/>
      <c r="BF591" s="10"/>
      <c r="BG591" s="10"/>
      <c r="BH591" s="10"/>
      <c r="BI591" s="10"/>
      <c r="BJ591" s="10"/>
      <c r="BK591" s="10"/>
      <c r="BL591" s="10"/>
    </row>
    <row r="592" spans="5:64" s="8" customFormat="1" x14ac:dyDescent="0.2">
      <c r="E592" s="85"/>
      <c r="AR592" s="10"/>
      <c r="AS592" s="10"/>
      <c r="AT592" s="10"/>
      <c r="AU592" s="10"/>
      <c r="AV592" s="10"/>
      <c r="AW592" s="10"/>
      <c r="AX592" s="10"/>
      <c r="AY592" s="10"/>
      <c r="AZ592" s="10"/>
      <c r="BA592" s="10"/>
      <c r="BB592" s="10"/>
      <c r="BC592" s="10"/>
      <c r="BD592" s="10"/>
      <c r="BE592" s="10"/>
      <c r="BF592" s="10"/>
      <c r="BG592" s="10"/>
      <c r="BH592" s="10"/>
      <c r="BI592" s="10"/>
      <c r="BJ592" s="10"/>
      <c r="BK592" s="10"/>
      <c r="BL592" s="10"/>
    </row>
    <row r="593" spans="5:64" s="8" customFormat="1" x14ac:dyDescent="0.2">
      <c r="E593" s="85"/>
      <c r="AR593" s="10"/>
      <c r="AS593" s="10"/>
      <c r="AT593" s="10"/>
      <c r="AU593" s="10"/>
      <c r="AV593" s="10"/>
      <c r="AW593" s="10"/>
      <c r="AX593" s="10"/>
      <c r="AY593" s="10"/>
      <c r="AZ593" s="10"/>
      <c r="BA593" s="10"/>
      <c r="BB593" s="10"/>
      <c r="BC593" s="10"/>
      <c r="BD593" s="10"/>
      <c r="BE593" s="10"/>
      <c r="BF593" s="10"/>
      <c r="BG593" s="10"/>
      <c r="BH593" s="10"/>
      <c r="BI593" s="10"/>
      <c r="BJ593" s="10"/>
      <c r="BK593" s="10"/>
      <c r="BL593" s="10"/>
    </row>
    <row r="594" spans="5:64" s="8" customFormat="1" x14ac:dyDescent="0.2">
      <c r="E594" s="85"/>
      <c r="AR594" s="10"/>
      <c r="AS594" s="10"/>
      <c r="AT594" s="10"/>
      <c r="AU594" s="10"/>
      <c r="AV594" s="10"/>
      <c r="AW594" s="10"/>
      <c r="AX594" s="10"/>
      <c r="AY594" s="10"/>
      <c r="AZ594" s="10"/>
      <c r="BA594" s="10"/>
      <c r="BB594" s="10"/>
      <c r="BC594" s="10"/>
      <c r="BD594" s="10"/>
      <c r="BE594" s="10"/>
      <c r="BF594" s="10"/>
      <c r="BG594" s="10"/>
      <c r="BH594" s="10"/>
      <c r="BI594" s="10"/>
      <c r="BJ594" s="10"/>
      <c r="BK594" s="10"/>
      <c r="BL594" s="10"/>
    </row>
    <row r="595" spans="5:64" s="8" customFormat="1" x14ac:dyDescent="0.2">
      <c r="E595" s="85"/>
      <c r="AR595" s="10"/>
      <c r="AS595" s="10"/>
      <c r="AT595" s="10"/>
      <c r="AU595" s="10"/>
      <c r="AV595" s="10"/>
      <c r="AW595" s="10"/>
      <c r="AX595" s="10"/>
      <c r="AY595" s="10"/>
      <c r="AZ595" s="10"/>
      <c r="BA595" s="10"/>
      <c r="BB595" s="10"/>
      <c r="BC595" s="10"/>
      <c r="BD595" s="10"/>
      <c r="BE595" s="10"/>
      <c r="BF595" s="10"/>
      <c r="BG595" s="10"/>
      <c r="BH595" s="10"/>
      <c r="BI595" s="10"/>
      <c r="BJ595" s="10"/>
      <c r="BK595" s="10"/>
      <c r="BL595" s="10"/>
    </row>
    <row r="596" spans="5:64" s="8" customFormat="1" x14ac:dyDescent="0.2">
      <c r="E596" s="85"/>
      <c r="AR596" s="10"/>
      <c r="AS596" s="10"/>
      <c r="AT596" s="10"/>
      <c r="AU596" s="10"/>
      <c r="AV596" s="10"/>
      <c r="AW596" s="10"/>
      <c r="AX596" s="10"/>
      <c r="AY596" s="10"/>
      <c r="AZ596" s="10"/>
      <c r="BA596" s="10"/>
      <c r="BB596" s="10"/>
      <c r="BC596" s="10"/>
      <c r="BD596" s="10"/>
      <c r="BE596" s="10"/>
      <c r="BF596" s="10"/>
      <c r="BG596" s="10"/>
      <c r="BH596" s="10"/>
      <c r="BI596" s="10"/>
      <c r="BJ596" s="10"/>
      <c r="BK596" s="10"/>
      <c r="BL596" s="10"/>
    </row>
    <row r="597" spans="5:64" s="8" customFormat="1" x14ac:dyDescent="0.2">
      <c r="E597" s="85"/>
      <c r="AR597" s="10"/>
      <c r="AS597" s="10"/>
      <c r="AT597" s="10"/>
      <c r="AU597" s="10"/>
      <c r="AV597" s="10"/>
      <c r="AW597" s="10"/>
      <c r="AX597" s="10"/>
      <c r="AY597" s="10"/>
      <c r="AZ597" s="10"/>
      <c r="BA597" s="10"/>
      <c r="BB597" s="10"/>
      <c r="BC597" s="10"/>
      <c r="BD597" s="10"/>
      <c r="BE597" s="10"/>
      <c r="BF597" s="10"/>
      <c r="BG597" s="10"/>
      <c r="BH597" s="10"/>
      <c r="BI597" s="10"/>
      <c r="BJ597" s="10"/>
      <c r="BK597" s="10"/>
      <c r="BL597" s="10"/>
    </row>
    <row r="598" spans="5:64" s="8" customFormat="1" x14ac:dyDescent="0.2">
      <c r="E598" s="85"/>
      <c r="AR598" s="10"/>
      <c r="AS598" s="10"/>
      <c r="AT598" s="10"/>
      <c r="AU598" s="10"/>
      <c r="AV598" s="10"/>
      <c r="AW598" s="10"/>
      <c r="AX598" s="10"/>
      <c r="AY598" s="10"/>
      <c r="AZ598" s="10"/>
      <c r="BA598" s="10"/>
      <c r="BB598" s="10"/>
      <c r="BC598" s="10"/>
      <c r="BD598" s="10"/>
      <c r="BE598" s="10"/>
      <c r="BF598" s="10"/>
      <c r="BG598" s="10"/>
      <c r="BH598" s="10"/>
      <c r="BI598" s="10"/>
      <c r="BJ598" s="10"/>
      <c r="BK598" s="10"/>
      <c r="BL598" s="10"/>
    </row>
    <row r="599" spans="5:64" s="8" customFormat="1" x14ac:dyDescent="0.2">
      <c r="E599" s="85"/>
      <c r="AR599" s="10"/>
      <c r="AS599" s="10"/>
      <c r="AT599" s="10"/>
      <c r="AU599" s="10"/>
      <c r="AV599" s="10"/>
      <c r="AW599" s="10"/>
      <c r="AX599" s="10"/>
      <c r="AY599" s="10"/>
      <c r="AZ599" s="10"/>
      <c r="BA599" s="10"/>
      <c r="BB599" s="10"/>
      <c r="BC599" s="10"/>
      <c r="BD599" s="10"/>
      <c r="BE599" s="10"/>
      <c r="BF599" s="10"/>
      <c r="BG599" s="10"/>
      <c r="BH599" s="10"/>
      <c r="BI599" s="10"/>
      <c r="BJ599" s="10"/>
      <c r="BK599" s="10"/>
      <c r="BL599" s="10"/>
    </row>
    <row r="600" spans="5:64" s="8" customFormat="1" x14ac:dyDescent="0.2">
      <c r="E600" s="85"/>
      <c r="AR600" s="10"/>
      <c r="AS600" s="10"/>
      <c r="AT600" s="10"/>
      <c r="AU600" s="10"/>
      <c r="AV600" s="10"/>
      <c r="AW600" s="10"/>
      <c r="AX600" s="10"/>
      <c r="AY600" s="10"/>
      <c r="AZ600" s="10"/>
      <c r="BA600" s="10"/>
      <c r="BB600" s="10"/>
      <c r="BC600" s="10"/>
      <c r="BD600" s="10"/>
      <c r="BE600" s="10"/>
      <c r="BF600" s="10"/>
      <c r="BG600" s="10"/>
      <c r="BH600" s="10"/>
      <c r="BI600" s="10"/>
      <c r="BJ600" s="10"/>
      <c r="BK600" s="10"/>
      <c r="BL600" s="10"/>
    </row>
    <row r="601" spans="5:64" s="8" customFormat="1" x14ac:dyDescent="0.2">
      <c r="E601" s="85"/>
      <c r="AR601" s="10"/>
      <c r="AS601" s="10"/>
      <c r="AT601" s="10"/>
      <c r="AU601" s="10"/>
      <c r="AV601" s="10"/>
      <c r="AW601" s="10"/>
      <c r="AX601" s="10"/>
      <c r="AY601" s="10"/>
      <c r="AZ601" s="10"/>
      <c r="BA601" s="10"/>
      <c r="BB601" s="10"/>
      <c r="BC601" s="10"/>
      <c r="BD601" s="10"/>
      <c r="BE601" s="10"/>
      <c r="BF601" s="10"/>
      <c r="BG601" s="10"/>
      <c r="BH601" s="10"/>
      <c r="BI601" s="10"/>
      <c r="BJ601" s="10"/>
      <c r="BK601" s="10"/>
      <c r="BL601" s="10"/>
    </row>
    <row r="602" spans="5:64" s="8" customFormat="1" x14ac:dyDescent="0.2">
      <c r="E602" s="85"/>
      <c r="AR602" s="10"/>
      <c r="AS602" s="10"/>
      <c r="AT602" s="10"/>
      <c r="AU602" s="10"/>
      <c r="AV602" s="10"/>
      <c r="AW602" s="10"/>
      <c r="AX602" s="10"/>
      <c r="AY602" s="10"/>
      <c r="AZ602" s="10"/>
      <c r="BA602" s="10"/>
      <c r="BB602" s="10"/>
      <c r="BC602" s="10"/>
      <c r="BD602" s="10"/>
      <c r="BE602" s="10"/>
      <c r="BF602" s="10"/>
      <c r="BG602" s="10"/>
      <c r="BH602" s="10"/>
      <c r="BI602" s="10"/>
      <c r="BJ602" s="10"/>
      <c r="BK602" s="10"/>
      <c r="BL602" s="10"/>
    </row>
    <row r="603" spans="5:64" s="8" customFormat="1" x14ac:dyDescent="0.2">
      <c r="E603" s="85"/>
      <c r="AR603" s="10"/>
      <c r="AS603" s="10"/>
      <c r="AT603" s="10"/>
      <c r="AU603" s="10"/>
      <c r="AV603" s="10"/>
      <c r="AW603" s="10"/>
      <c r="AX603" s="10"/>
      <c r="AY603" s="10"/>
      <c r="AZ603" s="10"/>
      <c r="BA603" s="10"/>
      <c r="BB603" s="10"/>
      <c r="BC603" s="10"/>
      <c r="BD603" s="10"/>
      <c r="BE603" s="10"/>
      <c r="BF603" s="10"/>
      <c r="BG603" s="10"/>
      <c r="BH603" s="10"/>
      <c r="BI603" s="10"/>
      <c r="BJ603" s="10"/>
      <c r="BK603" s="10"/>
      <c r="BL603" s="10"/>
    </row>
    <row r="604" spans="5:64" s="8" customFormat="1" x14ac:dyDescent="0.2">
      <c r="E604" s="85"/>
      <c r="AR604" s="10"/>
      <c r="AS604" s="10"/>
      <c r="AT604" s="10"/>
      <c r="AU604" s="10"/>
      <c r="AV604" s="10"/>
      <c r="AW604" s="10"/>
      <c r="AX604" s="10"/>
      <c r="AY604" s="10"/>
      <c r="AZ604" s="10"/>
      <c r="BA604" s="10"/>
      <c r="BB604" s="10"/>
      <c r="BC604" s="10"/>
      <c r="BD604" s="10"/>
      <c r="BE604" s="10"/>
      <c r="BF604" s="10"/>
      <c r="BG604" s="10"/>
      <c r="BH604" s="10"/>
      <c r="BI604" s="10"/>
      <c r="BJ604" s="10"/>
      <c r="BK604" s="10"/>
      <c r="BL604" s="10"/>
    </row>
    <row r="605" spans="5:64" s="8" customFormat="1" x14ac:dyDescent="0.2">
      <c r="E605" s="85"/>
      <c r="AR605" s="10"/>
      <c r="AS605" s="10"/>
      <c r="AT605" s="10"/>
      <c r="AU605" s="10"/>
      <c r="AV605" s="10"/>
      <c r="AW605" s="10"/>
      <c r="AX605" s="10"/>
      <c r="AY605" s="10"/>
      <c r="AZ605" s="10"/>
      <c r="BA605" s="10"/>
      <c r="BB605" s="10"/>
      <c r="BC605" s="10"/>
      <c r="BD605" s="10"/>
      <c r="BE605" s="10"/>
      <c r="BF605" s="10"/>
      <c r="BG605" s="10"/>
      <c r="BH605" s="10"/>
      <c r="BI605" s="10"/>
      <c r="BJ605" s="10"/>
      <c r="BK605" s="10"/>
      <c r="BL605" s="10"/>
    </row>
    <row r="606" spans="5:64" s="8" customFormat="1" x14ac:dyDescent="0.2">
      <c r="E606" s="85"/>
      <c r="AR606" s="10"/>
      <c r="AS606" s="10"/>
      <c r="AT606" s="10"/>
      <c r="AU606" s="10"/>
      <c r="AV606" s="10"/>
      <c r="AW606" s="10"/>
      <c r="AX606" s="10"/>
      <c r="AY606" s="10"/>
      <c r="AZ606" s="10"/>
      <c r="BA606" s="10"/>
      <c r="BB606" s="10"/>
      <c r="BC606" s="10"/>
      <c r="BD606" s="10"/>
      <c r="BE606" s="10"/>
      <c r="BF606" s="10"/>
      <c r="BG606" s="10"/>
      <c r="BH606" s="10"/>
      <c r="BI606" s="10"/>
      <c r="BJ606" s="10"/>
      <c r="BK606" s="10"/>
      <c r="BL606" s="10"/>
    </row>
    <row r="607" spans="5:64" s="8" customFormat="1" x14ac:dyDescent="0.2">
      <c r="E607" s="85"/>
      <c r="AR607" s="10"/>
      <c r="AS607" s="10"/>
      <c r="AT607" s="10"/>
      <c r="AU607" s="10"/>
      <c r="AV607" s="10"/>
      <c r="AW607" s="10"/>
      <c r="AX607" s="10"/>
      <c r="AY607" s="10"/>
      <c r="AZ607" s="10"/>
      <c r="BA607" s="10"/>
      <c r="BB607" s="10"/>
      <c r="BC607" s="10"/>
      <c r="BD607" s="10"/>
      <c r="BE607" s="10"/>
      <c r="BF607" s="10"/>
      <c r="BG607" s="10"/>
      <c r="BH607" s="10"/>
      <c r="BI607" s="10"/>
      <c r="BJ607" s="10"/>
      <c r="BK607" s="10"/>
      <c r="BL607" s="10"/>
    </row>
    <row r="608" spans="5:64" s="8" customFormat="1" x14ac:dyDescent="0.2">
      <c r="E608" s="85"/>
      <c r="AR608" s="10"/>
      <c r="AS608" s="10"/>
      <c r="AT608" s="10"/>
      <c r="AU608" s="10"/>
      <c r="AV608" s="10"/>
      <c r="AW608" s="10"/>
      <c r="AX608" s="10"/>
      <c r="AY608" s="10"/>
      <c r="AZ608" s="10"/>
      <c r="BA608" s="10"/>
      <c r="BB608" s="10"/>
      <c r="BC608" s="10"/>
      <c r="BD608" s="10"/>
      <c r="BE608" s="10"/>
      <c r="BF608" s="10"/>
      <c r="BG608" s="10"/>
      <c r="BH608" s="10"/>
      <c r="BI608" s="10"/>
      <c r="BJ608" s="10"/>
      <c r="BK608" s="10"/>
      <c r="BL608" s="10"/>
    </row>
    <row r="609" spans="5:64" s="8" customFormat="1" x14ac:dyDescent="0.2">
      <c r="E609" s="85"/>
      <c r="AR609" s="10"/>
      <c r="AS609" s="10"/>
      <c r="AT609" s="10"/>
      <c r="AU609" s="10"/>
      <c r="AV609" s="10"/>
      <c r="AW609" s="10"/>
      <c r="AX609" s="10"/>
      <c r="AY609" s="10"/>
      <c r="AZ609" s="10"/>
      <c r="BA609" s="10"/>
      <c r="BB609" s="10"/>
      <c r="BC609" s="10"/>
      <c r="BD609" s="10"/>
      <c r="BE609" s="10"/>
      <c r="BF609" s="10"/>
      <c r="BG609" s="10"/>
      <c r="BH609" s="10"/>
      <c r="BI609" s="10"/>
      <c r="BJ609" s="10"/>
      <c r="BK609" s="10"/>
      <c r="BL609" s="10"/>
    </row>
    <row r="610" spans="5:64" s="8" customFormat="1" x14ac:dyDescent="0.2">
      <c r="E610" s="85"/>
      <c r="AR610" s="10"/>
      <c r="AS610" s="10"/>
      <c r="AT610" s="10"/>
      <c r="AU610" s="10"/>
      <c r="AV610" s="10"/>
      <c r="AW610" s="10"/>
      <c r="AX610" s="10"/>
      <c r="AY610" s="10"/>
      <c r="AZ610" s="10"/>
      <c r="BA610" s="10"/>
      <c r="BB610" s="10"/>
      <c r="BC610" s="10"/>
      <c r="BD610" s="10"/>
      <c r="BE610" s="10"/>
      <c r="BF610" s="10"/>
      <c r="BG610" s="10"/>
      <c r="BH610" s="10"/>
      <c r="BI610" s="10"/>
      <c r="BJ610" s="10"/>
      <c r="BK610" s="10"/>
      <c r="BL610" s="10"/>
    </row>
    <row r="611" spans="5:64" s="8" customFormat="1" x14ac:dyDescent="0.2">
      <c r="E611" s="85"/>
      <c r="AR611" s="10"/>
      <c r="AS611" s="10"/>
      <c r="AT611" s="10"/>
      <c r="AU611" s="10"/>
      <c r="AV611" s="10"/>
      <c r="AW611" s="10"/>
      <c r="AX611" s="10"/>
      <c r="AY611" s="10"/>
      <c r="AZ611" s="10"/>
      <c r="BA611" s="10"/>
      <c r="BB611" s="10"/>
      <c r="BC611" s="10"/>
      <c r="BD611" s="10"/>
      <c r="BE611" s="10"/>
      <c r="BF611" s="10"/>
      <c r="BG611" s="10"/>
      <c r="BH611" s="10"/>
      <c r="BI611" s="10"/>
      <c r="BJ611" s="10"/>
      <c r="BK611" s="10"/>
      <c r="BL611" s="10"/>
    </row>
    <row r="612" spans="5:64" s="8" customFormat="1" x14ac:dyDescent="0.2">
      <c r="E612" s="85"/>
      <c r="AR612" s="10"/>
      <c r="AS612" s="10"/>
      <c r="AT612" s="10"/>
      <c r="AU612" s="10"/>
      <c r="AV612" s="10"/>
      <c r="AW612" s="10"/>
      <c r="AX612" s="10"/>
      <c r="AY612" s="10"/>
      <c r="AZ612" s="10"/>
      <c r="BA612" s="10"/>
      <c r="BB612" s="10"/>
      <c r="BC612" s="10"/>
      <c r="BD612" s="10"/>
      <c r="BE612" s="10"/>
      <c r="BF612" s="10"/>
      <c r="BG612" s="10"/>
      <c r="BH612" s="10"/>
      <c r="BI612" s="10"/>
      <c r="BJ612" s="10"/>
      <c r="BK612" s="10"/>
      <c r="BL612" s="10"/>
    </row>
    <row r="613" spans="5:64" s="8" customFormat="1" x14ac:dyDescent="0.2">
      <c r="E613" s="85"/>
      <c r="AR613" s="10"/>
      <c r="AS613" s="10"/>
      <c r="AT613" s="10"/>
      <c r="AU613" s="10"/>
      <c r="AV613" s="10"/>
      <c r="AW613" s="10"/>
      <c r="AX613" s="10"/>
      <c r="AY613" s="10"/>
      <c r="AZ613" s="10"/>
      <c r="BA613" s="10"/>
      <c r="BB613" s="10"/>
      <c r="BC613" s="10"/>
      <c r="BD613" s="10"/>
      <c r="BE613" s="10"/>
      <c r="BF613" s="10"/>
      <c r="BG613" s="10"/>
      <c r="BH613" s="10"/>
      <c r="BI613" s="10"/>
      <c r="BJ613" s="10"/>
      <c r="BK613" s="10"/>
      <c r="BL613" s="10"/>
    </row>
    <row r="614" spans="5:64" s="8" customFormat="1" x14ac:dyDescent="0.2">
      <c r="E614" s="85"/>
      <c r="AR614" s="10"/>
      <c r="AS614" s="10"/>
      <c r="AT614" s="10"/>
      <c r="AU614" s="10"/>
      <c r="AV614" s="10"/>
      <c r="AW614" s="10"/>
      <c r="AX614" s="10"/>
      <c r="AY614" s="10"/>
      <c r="AZ614" s="10"/>
      <c r="BA614" s="10"/>
      <c r="BB614" s="10"/>
      <c r="BC614" s="10"/>
      <c r="BD614" s="10"/>
      <c r="BE614" s="10"/>
      <c r="BF614" s="10"/>
      <c r="BG614" s="10"/>
      <c r="BH614" s="10"/>
      <c r="BI614" s="10"/>
      <c r="BJ614" s="10"/>
      <c r="BK614" s="10"/>
      <c r="BL614" s="10"/>
    </row>
    <row r="615" spans="5:64" s="8" customFormat="1" x14ac:dyDescent="0.2">
      <c r="E615" s="85"/>
      <c r="AR615" s="10"/>
      <c r="AS615" s="10"/>
      <c r="AT615" s="10"/>
      <c r="AU615" s="10"/>
      <c r="AV615" s="10"/>
      <c r="AW615" s="10"/>
      <c r="AX615" s="10"/>
      <c r="AY615" s="10"/>
      <c r="AZ615" s="10"/>
      <c r="BA615" s="10"/>
      <c r="BB615" s="10"/>
      <c r="BC615" s="10"/>
      <c r="BD615" s="10"/>
      <c r="BE615" s="10"/>
      <c r="BF615" s="10"/>
      <c r="BG615" s="10"/>
      <c r="BH615" s="10"/>
      <c r="BI615" s="10"/>
      <c r="BJ615" s="10"/>
      <c r="BK615" s="10"/>
      <c r="BL615" s="10"/>
    </row>
    <row r="616" spans="5:64" s="8" customFormat="1" x14ac:dyDescent="0.2">
      <c r="E616" s="85"/>
      <c r="AR616" s="10"/>
      <c r="AS616" s="10"/>
      <c r="AT616" s="10"/>
      <c r="AU616" s="10"/>
      <c r="AV616" s="10"/>
      <c r="AW616" s="10"/>
      <c r="AX616" s="10"/>
      <c r="AY616" s="10"/>
      <c r="AZ616" s="10"/>
      <c r="BA616" s="10"/>
      <c r="BB616" s="10"/>
      <c r="BC616" s="10"/>
      <c r="BD616" s="10"/>
      <c r="BE616" s="10"/>
      <c r="BF616" s="10"/>
      <c r="BG616" s="10"/>
      <c r="BH616" s="10"/>
      <c r="BI616" s="10"/>
      <c r="BJ616" s="10"/>
      <c r="BK616" s="10"/>
      <c r="BL616" s="10"/>
    </row>
    <row r="617" spans="5:64" s="8" customFormat="1" x14ac:dyDescent="0.2">
      <c r="E617" s="85"/>
      <c r="AR617" s="10"/>
      <c r="AS617" s="10"/>
      <c r="AT617" s="10"/>
      <c r="AU617" s="10"/>
      <c r="AV617" s="10"/>
      <c r="AW617" s="10"/>
      <c r="AX617" s="10"/>
      <c r="AY617" s="10"/>
      <c r="AZ617" s="10"/>
      <c r="BA617" s="10"/>
      <c r="BB617" s="10"/>
      <c r="BC617" s="10"/>
      <c r="BD617" s="10"/>
      <c r="BE617" s="10"/>
      <c r="BF617" s="10"/>
      <c r="BG617" s="10"/>
      <c r="BH617" s="10"/>
      <c r="BI617" s="10"/>
      <c r="BJ617" s="10"/>
      <c r="BK617" s="10"/>
      <c r="BL617" s="10"/>
    </row>
    <row r="618" spans="5:64" s="8" customFormat="1" x14ac:dyDescent="0.2">
      <c r="E618" s="85"/>
      <c r="AR618" s="10"/>
      <c r="AS618" s="10"/>
      <c r="AT618" s="10"/>
      <c r="AU618" s="10"/>
      <c r="AV618" s="10"/>
      <c r="AW618" s="10"/>
      <c r="AX618" s="10"/>
      <c r="AY618" s="10"/>
      <c r="AZ618" s="10"/>
      <c r="BA618" s="10"/>
      <c r="BB618" s="10"/>
      <c r="BC618" s="10"/>
      <c r="BD618" s="10"/>
      <c r="BE618" s="10"/>
      <c r="BF618" s="10"/>
      <c r="BG618" s="10"/>
      <c r="BH618" s="10"/>
      <c r="BI618" s="10"/>
      <c r="BJ618" s="10"/>
      <c r="BK618" s="10"/>
      <c r="BL618" s="10"/>
    </row>
    <row r="619" spans="5:64" s="8" customFormat="1" x14ac:dyDescent="0.2">
      <c r="E619" s="85"/>
      <c r="AR619" s="10"/>
      <c r="AS619" s="10"/>
      <c r="AT619" s="10"/>
      <c r="AU619" s="10"/>
      <c r="AV619" s="10"/>
      <c r="AW619" s="10"/>
      <c r="AX619" s="10"/>
      <c r="AY619" s="10"/>
      <c r="AZ619" s="10"/>
      <c r="BA619" s="10"/>
      <c r="BB619" s="10"/>
      <c r="BC619" s="10"/>
      <c r="BD619" s="10"/>
      <c r="BE619" s="10"/>
      <c r="BF619" s="10"/>
      <c r="BG619" s="10"/>
      <c r="BH619" s="10"/>
      <c r="BI619" s="10"/>
      <c r="BJ619" s="10"/>
      <c r="BK619" s="10"/>
      <c r="BL619" s="10"/>
    </row>
    <row r="620" spans="5:64" s="8" customFormat="1" x14ac:dyDescent="0.2">
      <c r="E620" s="85"/>
      <c r="AR620" s="10"/>
      <c r="AS620" s="10"/>
      <c r="AT620" s="10"/>
      <c r="AU620" s="10"/>
      <c r="AV620" s="10"/>
      <c r="AW620" s="10"/>
      <c r="AX620" s="10"/>
      <c r="AY620" s="10"/>
      <c r="AZ620" s="10"/>
      <c r="BA620" s="10"/>
      <c r="BB620" s="10"/>
      <c r="BC620" s="10"/>
      <c r="BD620" s="10"/>
      <c r="BE620" s="10"/>
      <c r="BF620" s="10"/>
      <c r="BG620" s="10"/>
      <c r="BH620" s="10"/>
      <c r="BI620" s="10"/>
      <c r="BJ620" s="10"/>
      <c r="BK620" s="10"/>
      <c r="BL620" s="10"/>
    </row>
    <row r="621" spans="5:64" s="8" customFormat="1" x14ac:dyDescent="0.2">
      <c r="E621" s="85"/>
      <c r="AR621" s="10"/>
      <c r="AS621" s="10"/>
      <c r="AT621" s="10"/>
      <c r="AU621" s="10"/>
      <c r="AV621" s="10"/>
      <c r="AW621" s="10"/>
      <c r="AX621" s="10"/>
      <c r="AY621" s="10"/>
      <c r="AZ621" s="10"/>
      <c r="BA621" s="10"/>
      <c r="BB621" s="10"/>
      <c r="BC621" s="10"/>
      <c r="BD621" s="10"/>
      <c r="BE621" s="10"/>
      <c r="BF621" s="10"/>
      <c r="BG621" s="10"/>
      <c r="BH621" s="10"/>
      <c r="BI621" s="10"/>
      <c r="BJ621" s="10"/>
      <c r="BK621" s="10"/>
      <c r="BL621" s="10"/>
    </row>
    <row r="622" spans="5:64" s="8" customFormat="1" x14ac:dyDescent="0.2">
      <c r="E622" s="85"/>
      <c r="AR622" s="10"/>
      <c r="AS622" s="10"/>
      <c r="AT622" s="10"/>
      <c r="AU622" s="10"/>
      <c r="AV622" s="10"/>
      <c r="AW622" s="10"/>
      <c r="AX622" s="10"/>
      <c r="AY622" s="10"/>
      <c r="AZ622" s="10"/>
      <c r="BA622" s="10"/>
      <c r="BB622" s="10"/>
      <c r="BC622" s="10"/>
      <c r="BD622" s="10"/>
      <c r="BE622" s="10"/>
      <c r="BF622" s="10"/>
      <c r="BG622" s="10"/>
      <c r="BH622" s="10"/>
      <c r="BI622" s="10"/>
      <c r="BJ622" s="10"/>
      <c r="BK622" s="10"/>
      <c r="BL622" s="10"/>
    </row>
    <row r="623" spans="5:64" s="8" customFormat="1" x14ac:dyDescent="0.2">
      <c r="E623" s="85"/>
      <c r="AR623" s="10"/>
      <c r="AS623" s="10"/>
      <c r="AT623" s="10"/>
      <c r="AU623" s="10"/>
      <c r="AV623" s="10"/>
      <c r="AW623" s="10"/>
      <c r="AX623" s="10"/>
      <c r="AY623" s="10"/>
      <c r="AZ623" s="10"/>
      <c r="BA623" s="10"/>
      <c r="BB623" s="10"/>
      <c r="BC623" s="10"/>
      <c r="BD623" s="10"/>
      <c r="BE623" s="10"/>
      <c r="BF623" s="10"/>
      <c r="BG623" s="10"/>
      <c r="BH623" s="10"/>
      <c r="BI623" s="10"/>
      <c r="BJ623" s="10"/>
      <c r="BK623" s="10"/>
      <c r="BL623" s="10"/>
    </row>
    <row r="624" spans="5:64" s="8" customFormat="1" x14ac:dyDescent="0.2">
      <c r="E624" s="85"/>
      <c r="AR624" s="10"/>
      <c r="AS624" s="10"/>
      <c r="AT624" s="10"/>
      <c r="AU624" s="10"/>
      <c r="AV624" s="10"/>
      <c r="AW624" s="10"/>
      <c r="AX624" s="10"/>
      <c r="AY624" s="10"/>
      <c r="AZ624" s="10"/>
      <c r="BA624" s="10"/>
      <c r="BB624" s="10"/>
      <c r="BC624" s="10"/>
      <c r="BD624" s="10"/>
      <c r="BE624" s="10"/>
      <c r="BF624" s="10"/>
      <c r="BG624" s="10"/>
      <c r="BH624" s="10"/>
      <c r="BI624" s="10"/>
      <c r="BJ624" s="10"/>
      <c r="BK624" s="10"/>
      <c r="BL624" s="10"/>
    </row>
    <row r="625" spans="5:64" s="8" customFormat="1" x14ac:dyDescent="0.2">
      <c r="E625" s="85"/>
      <c r="AR625" s="10"/>
      <c r="AS625" s="10"/>
      <c r="AT625" s="10"/>
      <c r="AU625" s="10"/>
      <c r="AV625" s="10"/>
      <c r="AW625" s="10"/>
      <c r="AX625" s="10"/>
      <c r="AY625" s="10"/>
      <c r="AZ625" s="10"/>
      <c r="BA625" s="10"/>
      <c r="BB625" s="10"/>
      <c r="BC625" s="10"/>
      <c r="BD625" s="10"/>
      <c r="BE625" s="10"/>
      <c r="BF625" s="10"/>
      <c r="BG625" s="10"/>
      <c r="BH625" s="10"/>
      <c r="BI625" s="10"/>
      <c r="BJ625" s="10"/>
      <c r="BK625" s="10"/>
      <c r="BL625" s="10"/>
    </row>
    <row r="626" spans="5:64" s="8" customFormat="1" x14ac:dyDescent="0.2">
      <c r="E626" s="85"/>
      <c r="AR626" s="10"/>
      <c r="AS626" s="10"/>
      <c r="AT626" s="10"/>
      <c r="AU626" s="10"/>
      <c r="AV626" s="10"/>
      <c r="AW626" s="10"/>
      <c r="AX626" s="10"/>
      <c r="AY626" s="10"/>
      <c r="AZ626" s="10"/>
      <c r="BA626" s="10"/>
      <c r="BB626" s="10"/>
      <c r="BC626" s="10"/>
      <c r="BD626" s="10"/>
      <c r="BE626" s="10"/>
      <c r="BF626" s="10"/>
      <c r="BG626" s="10"/>
      <c r="BH626" s="10"/>
      <c r="BI626" s="10"/>
      <c r="BJ626" s="10"/>
      <c r="BK626" s="10"/>
      <c r="BL626" s="10"/>
    </row>
    <row r="627" spans="5:64" s="8" customFormat="1" x14ac:dyDescent="0.2">
      <c r="E627" s="85"/>
      <c r="AR627" s="10"/>
      <c r="AS627" s="10"/>
      <c r="AT627" s="10"/>
      <c r="AU627" s="10"/>
      <c r="AV627" s="10"/>
      <c r="AW627" s="10"/>
      <c r="AX627" s="10"/>
      <c r="AY627" s="10"/>
      <c r="AZ627" s="10"/>
      <c r="BA627" s="10"/>
      <c r="BB627" s="10"/>
      <c r="BC627" s="10"/>
      <c r="BD627" s="10"/>
      <c r="BE627" s="10"/>
      <c r="BF627" s="10"/>
      <c r="BG627" s="10"/>
      <c r="BH627" s="10"/>
      <c r="BI627" s="10"/>
      <c r="BJ627" s="10"/>
      <c r="BK627" s="10"/>
      <c r="BL627" s="10"/>
    </row>
    <row r="628" spans="5:64" s="8" customFormat="1" x14ac:dyDescent="0.2">
      <c r="E628" s="85"/>
      <c r="AR628" s="10"/>
      <c r="AS628" s="10"/>
      <c r="AT628" s="10"/>
      <c r="AU628" s="10"/>
      <c r="AV628" s="10"/>
      <c r="AW628" s="10"/>
      <c r="AX628" s="10"/>
      <c r="AY628" s="10"/>
      <c r="AZ628" s="10"/>
      <c r="BA628" s="10"/>
      <c r="BB628" s="10"/>
      <c r="BC628" s="10"/>
      <c r="BD628" s="10"/>
      <c r="BE628" s="10"/>
      <c r="BF628" s="10"/>
      <c r="BG628" s="10"/>
      <c r="BH628" s="10"/>
      <c r="BI628" s="10"/>
      <c r="BJ628" s="10"/>
      <c r="BK628" s="10"/>
      <c r="BL628" s="10"/>
    </row>
    <row r="629" spans="5:64" s="8" customFormat="1" x14ac:dyDescent="0.2">
      <c r="E629" s="85"/>
      <c r="AR629" s="10"/>
      <c r="AS629" s="10"/>
      <c r="AT629" s="10"/>
      <c r="AU629" s="10"/>
      <c r="AV629" s="10"/>
      <c r="AW629" s="10"/>
      <c r="AX629" s="10"/>
      <c r="AY629" s="10"/>
      <c r="AZ629" s="10"/>
      <c r="BA629" s="10"/>
      <c r="BB629" s="10"/>
      <c r="BC629" s="10"/>
      <c r="BD629" s="10"/>
      <c r="BE629" s="10"/>
      <c r="BF629" s="10"/>
      <c r="BG629" s="10"/>
      <c r="BH629" s="10"/>
      <c r="BI629" s="10"/>
      <c r="BJ629" s="10"/>
      <c r="BK629" s="10"/>
      <c r="BL629" s="10"/>
    </row>
    <row r="630" spans="5:64" s="8" customFormat="1" x14ac:dyDescent="0.2">
      <c r="E630" s="85"/>
      <c r="AR630" s="10"/>
      <c r="AS630" s="10"/>
      <c r="AT630" s="10"/>
      <c r="AU630" s="10"/>
      <c r="AV630" s="10"/>
      <c r="AW630" s="10"/>
      <c r="AX630" s="10"/>
      <c r="AY630" s="10"/>
      <c r="AZ630" s="10"/>
      <c r="BA630" s="10"/>
      <c r="BB630" s="10"/>
      <c r="BC630" s="10"/>
      <c r="BD630" s="10"/>
      <c r="BE630" s="10"/>
      <c r="BF630" s="10"/>
      <c r="BG630" s="10"/>
      <c r="BH630" s="10"/>
      <c r="BI630" s="10"/>
      <c r="BJ630" s="10"/>
      <c r="BK630" s="10"/>
      <c r="BL630" s="10"/>
    </row>
    <row r="631" spans="5:64" s="8" customFormat="1" x14ac:dyDescent="0.2">
      <c r="E631" s="85"/>
      <c r="AR631" s="10"/>
      <c r="AS631" s="10"/>
      <c r="AT631" s="10"/>
      <c r="AU631" s="10"/>
      <c r="AV631" s="10"/>
      <c r="AW631" s="10"/>
      <c r="AX631" s="10"/>
      <c r="AY631" s="10"/>
      <c r="AZ631" s="10"/>
      <c r="BA631" s="10"/>
      <c r="BB631" s="10"/>
      <c r="BC631" s="10"/>
      <c r="BD631" s="10"/>
      <c r="BE631" s="10"/>
      <c r="BF631" s="10"/>
      <c r="BG631" s="10"/>
      <c r="BH631" s="10"/>
      <c r="BI631" s="10"/>
      <c r="BJ631" s="10"/>
      <c r="BK631" s="10"/>
      <c r="BL631" s="10"/>
    </row>
    <row r="632" spans="5:64" s="8" customFormat="1" x14ac:dyDescent="0.2">
      <c r="E632" s="85"/>
      <c r="AR632" s="10"/>
      <c r="AS632" s="10"/>
      <c r="AT632" s="10"/>
      <c r="AU632" s="10"/>
      <c r="AV632" s="10"/>
      <c r="AW632" s="10"/>
      <c r="AX632" s="10"/>
      <c r="AY632" s="10"/>
      <c r="AZ632" s="10"/>
      <c r="BA632" s="10"/>
      <c r="BB632" s="10"/>
      <c r="BC632" s="10"/>
      <c r="BD632" s="10"/>
      <c r="BE632" s="10"/>
      <c r="BF632" s="10"/>
      <c r="BG632" s="10"/>
      <c r="BH632" s="10"/>
      <c r="BI632" s="10"/>
      <c r="BJ632" s="10"/>
      <c r="BK632" s="10"/>
      <c r="BL632" s="10"/>
    </row>
    <row r="633" spans="5:64" s="8" customFormat="1" x14ac:dyDescent="0.2">
      <c r="E633" s="85"/>
      <c r="AR633" s="10"/>
      <c r="AS633" s="10"/>
      <c r="AT633" s="10"/>
      <c r="AU633" s="10"/>
      <c r="AV633" s="10"/>
      <c r="AW633" s="10"/>
      <c r="AX633" s="10"/>
      <c r="AY633" s="10"/>
      <c r="AZ633" s="10"/>
      <c r="BA633" s="10"/>
      <c r="BB633" s="10"/>
      <c r="BC633" s="10"/>
      <c r="BD633" s="10"/>
      <c r="BE633" s="10"/>
      <c r="BF633" s="10"/>
      <c r="BG633" s="10"/>
      <c r="BH633" s="10"/>
      <c r="BI633" s="10"/>
      <c r="BJ633" s="10"/>
      <c r="BK633" s="10"/>
      <c r="BL633" s="10"/>
    </row>
    <row r="634" spans="5:64" s="8" customFormat="1" x14ac:dyDescent="0.2">
      <c r="E634" s="85"/>
      <c r="AR634" s="10"/>
      <c r="AS634" s="10"/>
      <c r="AT634" s="10"/>
      <c r="AU634" s="10"/>
      <c r="AV634" s="10"/>
      <c r="AW634" s="10"/>
      <c r="AX634" s="10"/>
      <c r="AY634" s="10"/>
      <c r="AZ634" s="10"/>
      <c r="BA634" s="10"/>
      <c r="BB634" s="10"/>
      <c r="BC634" s="10"/>
      <c r="BD634" s="10"/>
      <c r="BE634" s="10"/>
      <c r="BF634" s="10"/>
      <c r="BG634" s="10"/>
      <c r="BH634" s="10"/>
      <c r="BI634" s="10"/>
      <c r="BJ634" s="10"/>
      <c r="BK634" s="10"/>
      <c r="BL634" s="10"/>
    </row>
    <row r="635" spans="5:64" s="8" customFormat="1" x14ac:dyDescent="0.2">
      <c r="E635" s="85"/>
      <c r="AR635" s="10"/>
      <c r="AS635" s="10"/>
      <c r="AT635" s="10"/>
      <c r="AU635" s="10"/>
      <c r="AV635" s="10"/>
      <c r="AW635" s="10"/>
      <c r="AX635" s="10"/>
      <c r="AY635" s="10"/>
      <c r="AZ635" s="10"/>
      <c r="BA635" s="10"/>
      <c r="BB635" s="10"/>
      <c r="BC635" s="10"/>
      <c r="BD635" s="10"/>
      <c r="BE635" s="10"/>
      <c r="BF635" s="10"/>
      <c r="BG635" s="10"/>
      <c r="BH635" s="10"/>
      <c r="BI635" s="10"/>
      <c r="BJ635" s="10"/>
      <c r="BK635" s="10"/>
      <c r="BL635" s="10"/>
    </row>
    <row r="636" spans="5:64" s="8" customFormat="1" x14ac:dyDescent="0.2">
      <c r="E636" s="85"/>
      <c r="AR636" s="10"/>
      <c r="AS636" s="10"/>
      <c r="AT636" s="10"/>
      <c r="AU636" s="10"/>
      <c r="AV636" s="10"/>
      <c r="AW636" s="10"/>
      <c r="AX636" s="10"/>
      <c r="AY636" s="10"/>
      <c r="AZ636" s="10"/>
      <c r="BA636" s="10"/>
      <c r="BB636" s="10"/>
      <c r="BC636" s="10"/>
      <c r="BD636" s="10"/>
      <c r="BE636" s="10"/>
      <c r="BF636" s="10"/>
      <c r="BG636" s="10"/>
      <c r="BH636" s="10"/>
      <c r="BI636" s="10"/>
      <c r="BJ636" s="10"/>
      <c r="BK636" s="10"/>
      <c r="BL636" s="10"/>
    </row>
    <row r="637" spans="5:64" s="8" customFormat="1" x14ac:dyDescent="0.2">
      <c r="E637" s="85"/>
      <c r="AR637" s="10"/>
      <c r="AS637" s="10"/>
      <c r="AT637" s="10"/>
      <c r="AU637" s="10"/>
      <c r="AV637" s="10"/>
      <c r="AW637" s="10"/>
      <c r="AX637" s="10"/>
      <c r="AY637" s="10"/>
      <c r="AZ637" s="10"/>
      <c r="BA637" s="10"/>
      <c r="BB637" s="10"/>
      <c r="BC637" s="10"/>
      <c r="BD637" s="10"/>
      <c r="BE637" s="10"/>
      <c r="BF637" s="10"/>
      <c r="BG637" s="10"/>
      <c r="BH637" s="10"/>
      <c r="BI637" s="10"/>
      <c r="BJ637" s="10"/>
      <c r="BK637" s="10"/>
      <c r="BL637" s="10"/>
    </row>
    <row r="638" spans="5:64" s="8" customFormat="1" x14ac:dyDescent="0.2">
      <c r="E638" s="85"/>
      <c r="AR638" s="10"/>
      <c r="AS638" s="10"/>
      <c r="AT638" s="10"/>
      <c r="AU638" s="10"/>
      <c r="AV638" s="10"/>
      <c r="AW638" s="10"/>
      <c r="AX638" s="10"/>
      <c r="AY638" s="10"/>
      <c r="AZ638" s="10"/>
      <c r="BA638" s="10"/>
      <c r="BB638" s="10"/>
      <c r="BC638" s="10"/>
      <c r="BD638" s="10"/>
      <c r="BE638" s="10"/>
      <c r="BF638" s="10"/>
      <c r="BG638" s="10"/>
      <c r="BH638" s="10"/>
      <c r="BI638" s="10"/>
      <c r="BJ638" s="10"/>
      <c r="BK638" s="10"/>
      <c r="BL638" s="10"/>
    </row>
    <row r="639" spans="5:64" s="8" customFormat="1" x14ac:dyDescent="0.2">
      <c r="E639" s="85"/>
      <c r="AR639" s="10"/>
      <c r="AS639" s="10"/>
      <c r="AT639" s="10"/>
      <c r="AU639" s="10"/>
      <c r="AV639" s="10"/>
      <c r="AW639" s="10"/>
      <c r="AX639" s="10"/>
      <c r="AY639" s="10"/>
      <c r="AZ639" s="10"/>
      <c r="BA639" s="10"/>
      <c r="BB639" s="10"/>
      <c r="BC639" s="10"/>
      <c r="BD639" s="10"/>
      <c r="BE639" s="10"/>
      <c r="BF639" s="10"/>
      <c r="BG639" s="10"/>
      <c r="BH639" s="10"/>
      <c r="BI639" s="10"/>
      <c r="BJ639" s="10"/>
      <c r="BK639" s="10"/>
      <c r="BL639" s="10"/>
    </row>
    <row r="640" spans="5:64" s="8" customFormat="1" x14ac:dyDescent="0.2">
      <c r="E640" s="85"/>
      <c r="AR640" s="10"/>
      <c r="AS640" s="10"/>
      <c r="AT640" s="10"/>
      <c r="AU640" s="10"/>
      <c r="AV640" s="10"/>
      <c r="AW640" s="10"/>
      <c r="AX640" s="10"/>
      <c r="AY640" s="10"/>
      <c r="AZ640" s="10"/>
      <c r="BA640" s="10"/>
      <c r="BB640" s="10"/>
      <c r="BC640" s="10"/>
      <c r="BD640" s="10"/>
      <c r="BE640" s="10"/>
      <c r="BF640" s="10"/>
      <c r="BG640" s="10"/>
      <c r="BH640" s="10"/>
      <c r="BI640" s="10"/>
      <c r="BJ640" s="10"/>
      <c r="BK640" s="10"/>
      <c r="BL640" s="10"/>
    </row>
    <row r="641" spans="5:64" s="8" customFormat="1" x14ac:dyDescent="0.2">
      <c r="E641" s="85"/>
      <c r="AR641" s="10"/>
      <c r="AS641" s="10"/>
      <c r="AT641" s="10"/>
      <c r="AU641" s="10"/>
      <c r="AV641" s="10"/>
      <c r="AW641" s="10"/>
      <c r="AX641" s="10"/>
      <c r="AY641" s="10"/>
      <c r="AZ641" s="10"/>
      <c r="BA641" s="10"/>
      <c r="BB641" s="10"/>
      <c r="BC641" s="10"/>
      <c r="BD641" s="10"/>
      <c r="BE641" s="10"/>
      <c r="BF641" s="10"/>
      <c r="BG641" s="10"/>
      <c r="BH641" s="10"/>
      <c r="BI641" s="10"/>
      <c r="BJ641" s="10"/>
      <c r="BK641" s="10"/>
      <c r="BL641" s="10"/>
    </row>
    <row r="642" spans="5:64" s="8" customFormat="1" x14ac:dyDescent="0.2">
      <c r="E642" s="85"/>
      <c r="AR642" s="10"/>
      <c r="AS642" s="10"/>
      <c r="AT642" s="10"/>
      <c r="AU642" s="10"/>
      <c r="AV642" s="10"/>
      <c r="AW642" s="10"/>
      <c r="AX642" s="10"/>
      <c r="AY642" s="10"/>
      <c r="AZ642" s="10"/>
      <c r="BA642" s="10"/>
      <c r="BB642" s="10"/>
      <c r="BC642" s="10"/>
      <c r="BD642" s="10"/>
      <c r="BE642" s="10"/>
      <c r="BF642" s="10"/>
      <c r="BG642" s="10"/>
      <c r="BH642" s="10"/>
      <c r="BI642" s="10"/>
      <c r="BJ642" s="10"/>
      <c r="BK642" s="10"/>
      <c r="BL642" s="10"/>
    </row>
    <row r="643" spans="5:64" s="8" customFormat="1" x14ac:dyDescent="0.2">
      <c r="E643" s="85"/>
      <c r="AR643" s="10"/>
      <c r="AS643" s="10"/>
      <c r="AT643" s="10"/>
      <c r="AU643" s="10"/>
      <c r="AV643" s="10"/>
      <c r="AW643" s="10"/>
      <c r="AX643" s="10"/>
      <c r="AY643" s="10"/>
      <c r="AZ643" s="10"/>
      <c r="BA643" s="10"/>
      <c r="BB643" s="10"/>
      <c r="BC643" s="10"/>
      <c r="BD643" s="10"/>
      <c r="BE643" s="10"/>
      <c r="BF643" s="10"/>
      <c r="BG643" s="10"/>
      <c r="BH643" s="10"/>
      <c r="BI643" s="10"/>
      <c r="BJ643" s="10"/>
      <c r="BK643" s="10"/>
      <c r="BL643" s="10"/>
    </row>
    <row r="644" spans="5:64" s="8" customFormat="1" x14ac:dyDescent="0.2">
      <c r="E644" s="85"/>
      <c r="AR644" s="10"/>
      <c r="AS644" s="10"/>
      <c r="AT644" s="10"/>
      <c r="AU644" s="10"/>
      <c r="AV644" s="10"/>
      <c r="AW644" s="10"/>
      <c r="AX644" s="10"/>
      <c r="AY644" s="10"/>
      <c r="AZ644" s="10"/>
      <c r="BA644" s="10"/>
      <c r="BB644" s="10"/>
      <c r="BC644" s="10"/>
      <c r="BD644" s="10"/>
      <c r="BE644" s="10"/>
      <c r="BF644" s="10"/>
      <c r="BG644" s="10"/>
      <c r="BH644" s="10"/>
      <c r="BI644" s="10"/>
      <c r="BJ644" s="10"/>
      <c r="BK644" s="10"/>
      <c r="BL644" s="10"/>
    </row>
    <row r="645" spans="5:64" s="8" customFormat="1" x14ac:dyDescent="0.2">
      <c r="E645" s="85"/>
      <c r="AR645" s="10"/>
      <c r="AS645" s="10"/>
      <c r="AT645" s="10"/>
      <c r="AU645" s="10"/>
      <c r="AV645" s="10"/>
      <c r="AW645" s="10"/>
      <c r="AX645" s="10"/>
      <c r="AY645" s="10"/>
      <c r="AZ645" s="10"/>
      <c r="BA645" s="10"/>
      <c r="BB645" s="10"/>
      <c r="BC645" s="10"/>
      <c r="BD645" s="10"/>
      <c r="BE645" s="10"/>
      <c r="BF645" s="10"/>
      <c r="BG645" s="10"/>
      <c r="BH645" s="10"/>
      <c r="BI645" s="10"/>
      <c r="BJ645" s="10"/>
      <c r="BK645" s="10"/>
      <c r="BL645" s="10"/>
    </row>
    <row r="646" spans="5:64" s="8" customFormat="1" x14ac:dyDescent="0.2">
      <c r="E646" s="85"/>
      <c r="AR646" s="10"/>
      <c r="AS646" s="10"/>
      <c r="AT646" s="10"/>
      <c r="AU646" s="10"/>
      <c r="AV646" s="10"/>
      <c r="AW646" s="10"/>
      <c r="AX646" s="10"/>
      <c r="AY646" s="10"/>
      <c r="AZ646" s="10"/>
      <c r="BA646" s="10"/>
      <c r="BB646" s="10"/>
      <c r="BC646" s="10"/>
      <c r="BD646" s="10"/>
      <c r="BE646" s="10"/>
      <c r="BF646" s="10"/>
      <c r="BG646" s="10"/>
      <c r="BH646" s="10"/>
      <c r="BI646" s="10"/>
      <c r="BJ646" s="10"/>
      <c r="BK646" s="10"/>
      <c r="BL646" s="10"/>
    </row>
    <row r="647" spans="5:64" s="8" customFormat="1" x14ac:dyDescent="0.2">
      <c r="E647" s="85"/>
      <c r="AR647" s="10"/>
      <c r="AS647" s="10"/>
      <c r="AT647" s="10"/>
      <c r="AU647" s="10"/>
      <c r="AV647" s="10"/>
      <c r="AW647" s="10"/>
      <c r="AX647" s="10"/>
      <c r="AY647" s="10"/>
      <c r="AZ647" s="10"/>
      <c r="BA647" s="10"/>
      <c r="BB647" s="10"/>
      <c r="BC647" s="10"/>
      <c r="BD647" s="10"/>
      <c r="BE647" s="10"/>
      <c r="BF647" s="10"/>
      <c r="BG647" s="10"/>
      <c r="BH647" s="10"/>
      <c r="BI647" s="10"/>
      <c r="BJ647" s="10"/>
      <c r="BK647" s="10"/>
      <c r="BL647" s="10"/>
    </row>
    <row r="648" spans="5:64" s="8" customFormat="1" x14ac:dyDescent="0.2">
      <c r="E648" s="85"/>
      <c r="AR648" s="10"/>
      <c r="AS648" s="10"/>
      <c r="AT648" s="10"/>
      <c r="AU648" s="10"/>
      <c r="AV648" s="10"/>
      <c r="AW648" s="10"/>
      <c r="AX648" s="10"/>
      <c r="AY648" s="10"/>
      <c r="AZ648" s="10"/>
      <c r="BA648" s="10"/>
      <c r="BB648" s="10"/>
      <c r="BC648" s="10"/>
      <c r="BD648" s="10"/>
      <c r="BE648" s="10"/>
      <c r="BF648" s="10"/>
      <c r="BG648" s="10"/>
      <c r="BH648" s="10"/>
      <c r="BI648" s="10"/>
      <c r="BJ648" s="10"/>
      <c r="BK648" s="10"/>
      <c r="BL648" s="10"/>
    </row>
    <row r="649" spans="5:64" s="8" customFormat="1" x14ac:dyDescent="0.2">
      <c r="E649" s="85"/>
      <c r="AR649" s="10"/>
      <c r="AS649" s="10"/>
      <c r="AT649" s="10"/>
      <c r="AU649" s="10"/>
      <c r="AV649" s="10"/>
      <c r="AW649" s="10"/>
      <c r="AX649" s="10"/>
      <c r="AY649" s="10"/>
      <c r="AZ649" s="10"/>
      <c r="BA649" s="10"/>
      <c r="BB649" s="10"/>
      <c r="BC649" s="10"/>
      <c r="BD649" s="10"/>
      <c r="BE649" s="10"/>
      <c r="BF649" s="10"/>
      <c r="BG649" s="10"/>
      <c r="BH649" s="10"/>
      <c r="BI649" s="10"/>
      <c r="BJ649" s="10"/>
      <c r="BK649" s="10"/>
      <c r="BL649" s="10"/>
    </row>
    <row r="650" spans="5:64" s="8" customFormat="1" x14ac:dyDescent="0.2">
      <c r="E650" s="85"/>
      <c r="AR650" s="10"/>
      <c r="AS650" s="10"/>
      <c r="AT650" s="10"/>
      <c r="AU650" s="10"/>
      <c r="AV650" s="10"/>
      <c r="AW650" s="10"/>
      <c r="AX650" s="10"/>
      <c r="AY650" s="10"/>
      <c r="AZ650" s="10"/>
      <c r="BA650" s="10"/>
      <c r="BB650" s="10"/>
      <c r="BC650" s="10"/>
      <c r="BD650" s="10"/>
      <c r="BE650" s="10"/>
      <c r="BF650" s="10"/>
      <c r="BG650" s="10"/>
      <c r="BH650" s="10"/>
      <c r="BI650" s="10"/>
      <c r="BJ650" s="10"/>
      <c r="BK650" s="10"/>
      <c r="BL650" s="10"/>
    </row>
    <row r="651" spans="5:64" s="8" customFormat="1" x14ac:dyDescent="0.2">
      <c r="E651" s="85"/>
      <c r="AR651" s="10"/>
      <c r="AS651" s="10"/>
      <c r="AT651" s="10"/>
      <c r="AU651" s="10"/>
      <c r="AV651" s="10"/>
      <c r="AW651" s="10"/>
      <c r="AX651" s="10"/>
      <c r="AY651" s="10"/>
      <c r="AZ651" s="10"/>
      <c r="BA651" s="10"/>
      <c r="BB651" s="10"/>
      <c r="BC651" s="10"/>
      <c r="BD651" s="10"/>
      <c r="BE651" s="10"/>
      <c r="BF651" s="10"/>
      <c r="BG651" s="10"/>
      <c r="BH651" s="10"/>
      <c r="BI651" s="10"/>
      <c r="BJ651" s="10"/>
      <c r="BK651" s="10"/>
      <c r="BL651" s="10"/>
    </row>
    <row r="652" spans="5:64" s="8" customFormat="1" x14ac:dyDescent="0.2">
      <c r="E652" s="85"/>
      <c r="AR652" s="10"/>
      <c r="AS652" s="10"/>
      <c r="AT652" s="10"/>
      <c r="AU652" s="10"/>
      <c r="AV652" s="10"/>
      <c r="AW652" s="10"/>
      <c r="AX652" s="10"/>
      <c r="AY652" s="10"/>
      <c r="AZ652" s="10"/>
      <c r="BA652" s="10"/>
      <c r="BB652" s="10"/>
      <c r="BC652" s="10"/>
      <c r="BD652" s="10"/>
      <c r="BE652" s="10"/>
      <c r="BF652" s="10"/>
      <c r="BG652" s="10"/>
      <c r="BH652" s="10"/>
      <c r="BI652" s="10"/>
      <c r="BJ652" s="10"/>
      <c r="BK652" s="10"/>
      <c r="BL652" s="10"/>
    </row>
    <row r="653" spans="5:64" s="8" customFormat="1" x14ac:dyDescent="0.2">
      <c r="E653" s="85"/>
      <c r="AR653" s="10"/>
      <c r="AS653" s="10"/>
      <c r="AT653" s="10"/>
      <c r="AU653" s="10"/>
      <c r="AV653" s="10"/>
      <c r="AW653" s="10"/>
      <c r="AX653" s="10"/>
      <c r="AY653" s="10"/>
      <c r="AZ653" s="10"/>
      <c r="BA653" s="10"/>
      <c r="BB653" s="10"/>
      <c r="BC653" s="10"/>
      <c r="BD653" s="10"/>
      <c r="BE653" s="10"/>
      <c r="BF653" s="10"/>
      <c r="BG653" s="10"/>
      <c r="BH653" s="10"/>
      <c r="BI653" s="10"/>
      <c r="BJ653" s="10"/>
      <c r="BK653" s="10"/>
      <c r="BL653" s="10"/>
    </row>
    <row r="654" spans="5:64" s="8" customFormat="1" x14ac:dyDescent="0.2">
      <c r="E654" s="85"/>
      <c r="AR654" s="10"/>
      <c r="AS654" s="10"/>
      <c r="AT654" s="10"/>
      <c r="AU654" s="10"/>
      <c r="AV654" s="10"/>
      <c r="AW654" s="10"/>
      <c r="AX654" s="10"/>
      <c r="AY654" s="10"/>
      <c r="AZ654" s="10"/>
      <c r="BA654" s="10"/>
      <c r="BB654" s="10"/>
      <c r="BC654" s="10"/>
      <c r="BD654" s="10"/>
      <c r="BE654" s="10"/>
      <c r="BF654" s="10"/>
      <c r="BG654" s="10"/>
      <c r="BH654" s="10"/>
      <c r="BI654" s="10"/>
      <c r="BJ654" s="10"/>
      <c r="BK654" s="10"/>
      <c r="BL654" s="10"/>
    </row>
    <row r="655" spans="5:64" s="8" customFormat="1" x14ac:dyDescent="0.2">
      <c r="E655" s="85"/>
      <c r="AR655" s="10"/>
      <c r="AS655" s="10"/>
      <c r="AT655" s="10"/>
      <c r="AU655" s="10"/>
      <c r="AV655" s="10"/>
      <c r="AW655" s="10"/>
      <c r="AX655" s="10"/>
      <c r="AY655" s="10"/>
      <c r="AZ655" s="10"/>
      <c r="BA655" s="10"/>
      <c r="BB655" s="10"/>
      <c r="BC655" s="10"/>
      <c r="BD655" s="10"/>
      <c r="BE655" s="10"/>
      <c r="BF655" s="10"/>
      <c r="BG655" s="10"/>
      <c r="BH655" s="10"/>
      <c r="BI655" s="10"/>
      <c r="BJ655" s="10"/>
      <c r="BK655" s="10"/>
      <c r="BL655" s="10"/>
    </row>
    <row r="656" spans="5:64" s="8" customFormat="1" x14ac:dyDescent="0.2">
      <c r="E656" s="85"/>
      <c r="AR656" s="10"/>
      <c r="AS656" s="10"/>
      <c r="AT656" s="10"/>
      <c r="AU656" s="10"/>
      <c r="AV656" s="10"/>
      <c r="AW656" s="10"/>
      <c r="AX656" s="10"/>
      <c r="AY656" s="10"/>
      <c r="AZ656" s="10"/>
      <c r="BA656" s="10"/>
      <c r="BB656" s="10"/>
      <c r="BC656" s="10"/>
      <c r="BD656" s="10"/>
      <c r="BE656" s="10"/>
      <c r="BF656" s="10"/>
      <c r="BG656" s="10"/>
      <c r="BH656" s="10"/>
      <c r="BI656" s="10"/>
      <c r="BJ656" s="10"/>
      <c r="BK656" s="10"/>
      <c r="BL656" s="10"/>
    </row>
    <row r="657" spans="5:64" s="8" customFormat="1" x14ac:dyDescent="0.2">
      <c r="E657" s="85"/>
      <c r="AR657" s="10"/>
      <c r="AS657" s="10"/>
      <c r="AT657" s="10"/>
      <c r="AU657" s="10"/>
      <c r="AV657" s="10"/>
      <c r="AW657" s="10"/>
      <c r="AX657" s="10"/>
      <c r="AY657" s="10"/>
      <c r="AZ657" s="10"/>
      <c r="BA657" s="10"/>
      <c r="BB657" s="10"/>
      <c r="BC657" s="10"/>
      <c r="BD657" s="10"/>
      <c r="BE657" s="10"/>
      <c r="BF657" s="10"/>
      <c r="BG657" s="10"/>
      <c r="BH657" s="10"/>
      <c r="BI657" s="10"/>
      <c r="BJ657" s="10"/>
      <c r="BK657" s="10"/>
      <c r="BL657" s="10"/>
    </row>
    <row r="658" spans="5:64" s="8" customFormat="1" x14ac:dyDescent="0.2">
      <c r="E658" s="85"/>
      <c r="AR658" s="10"/>
      <c r="AS658" s="10"/>
      <c r="AT658" s="10"/>
      <c r="AU658" s="10"/>
      <c r="AV658" s="10"/>
      <c r="AW658" s="10"/>
      <c r="AX658" s="10"/>
      <c r="AY658" s="10"/>
      <c r="AZ658" s="10"/>
      <c r="BA658" s="10"/>
      <c r="BB658" s="10"/>
      <c r="BC658" s="10"/>
      <c r="BD658" s="10"/>
      <c r="BE658" s="10"/>
      <c r="BF658" s="10"/>
      <c r="BG658" s="10"/>
      <c r="BH658" s="10"/>
      <c r="BI658" s="10"/>
      <c r="BJ658" s="10"/>
      <c r="BK658" s="10"/>
      <c r="BL658" s="10"/>
    </row>
    <row r="659" spans="5:64" s="8" customFormat="1" x14ac:dyDescent="0.2">
      <c r="E659" s="85"/>
      <c r="AR659" s="10"/>
      <c r="AS659" s="10"/>
      <c r="AT659" s="10"/>
      <c r="AU659" s="10"/>
      <c r="AV659" s="10"/>
      <c r="AW659" s="10"/>
      <c r="AX659" s="10"/>
      <c r="AY659" s="10"/>
      <c r="AZ659" s="10"/>
      <c r="BA659" s="10"/>
      <c r="BB659" s="10"/>
      <c r="BC659" s="10"/>
      <c r="BD659" s="10"/>
      <c r="BE659" s="10"/>
      <c r="BF659" s="10"/>
      <c r="BG659" s="10"/>
      <c r="BH659" s="10"/>
      <c r="BI659" s="10"/>
      <c r="BJ659" s="10"/>
      <c r="BK659" s="10"/>
      <c r="BL659" s="10"/>
    </row>
    <row r="660" spans="5:64" s="8" customFormat="1" x14ac:dyDescent="0.2">
      <c r="E660" s="85"/>
      <c r="AR660" s="10"/>
      <c r="AS660" s="10"/>
      <c r="AT660" s="10"/>
      <c r="AU660" s="10"/>
      <c r="AV660" s="10"/>
      <c r="AW660" s="10"/>
      <c r="AX660" s="10"/>
      <c r="AY660" s="10"/>
      <c r="AZ660" s="10"/>
      <c r="BA660" s="10"/>
      <c r="BB660" s="10"/>
      <c r="BC660" s="10"/>
      <c r="BD660" s="10"/>
      <c r="BE660" s="10"/>
      <c r="BF660" s="10"/>
      <c r="BG660" s="10"/>
      <c r="BH660" s="10"/>
      <c r="BI660" s="10"/>
      <c r="BJ660" s="10"/>
      <c r="BK660" s="10"/>
      <c r="BL660" s="10"/>
    </row>
    <row r="661" spans="5:64" s="8" customFormat="1" x14ac:dyDescent="0.2">
      <c r="E661" s="85"/>
      <c r="AR661" s="10"/>
      <c r="AS661" s="10"/>
      <c r="AT661" s="10"/>
      <c r="AU661" s="10"/>
      <c r="AV661" s="10"/>
      <c r="AW661" s="10"/>
      <c r="AX661" s="10"/>
      <c r="AY661" s="10"/>
      <c r="AZ661" s="10"/>
      <c r="BA661" s="10"/>
      <c r="BB661" s="10"/>
      <c r="BC661" s="10"/>
      <c r="BD661" s="10"/>
      <c r="BE661" s="10"/>
      <c r="BF661" s="10"/>
      <c r="BG661" s="10"/>
      <c r="BH661" s="10"/>
      <c r="BI661" s="10"/>
      <c r="BJ661" s="10"/>
      <c r="BK661" s="10"/>
      <c r="BL661" s="10"/>
    </row>
    <row r="662" spans="5:64" s="8" customFormat="1" x14ac:dyDescent="0.2">
      <c r="E662" s="85"/>
      <c r="AR662" s="10"/>
      <c r="AS662" s="10"/>
      <c r="AT662" s="10"/>
      <c r="AU662" s="10"/>
      <c r="AV662" s="10"/>
      <c r="AW662" s="10"/>
      <c r="AX662" s="10"/>
      <c r="AY662" s="10"/>
      <c r="AZ662" s="10"/>
      <c r="BA662" s="10"/>
      <c r="BB662" s="10"/>
      <c r="BC662" s="10"/>
      <c r="BD662" s="10"/>
      <c r="BE662" s="10"/>
      <c r="BF662" s="10"/>
      <c r="BG662" s="10"/>
      <c r="BH662" s="10"/>
      <c r="BI662" s="10"/>
      <c r="BJ662" s="10"/>
      <c r="BK662" s="10"/>
      <c r="BL662" s="10"/>
    </row>
    <row r="663" spans="5:64" s="8" customFormat="1" x14ac:dyDescent="0.2">
      <c r="E663" s="85"/>
      <c r="AR663" s="10"/>
      <c r="AS663" s="10"/>
      <c r="AT663" s="10"/>
      <c r="AU663" s="10"/>
      <c r="AV663" s="10"/>
      <c r="AW663" s="10"/>
      <c r="AX663" s="10"/>
      <c r="AY663" s="10"/>
      <c r="AZ663" s="10"/>
      <c r="BA663" s="10"/>
      <c r="BB663" s="10"/>
      <c r="BC663" s="10"/>
      <c r="BD663" s="10"/>
      <c r="BE663" s="10"/>
      <c r="BF663" s="10"/>
      <c r="BG663" s="10"/>
      <c r="BH663" s="10"/>
      <c r="BI663" s="10"/>
      <c r="BJ663" s="10"/>
      <c r="BK663" s="10"/>
      <c r="BL663" s="10"/>
    </row>
    <row r="664" spans="5:64" s="8" customFormat="1" x14ac:dyDescent="0.2">
      <c r="E664" s="85"/>
      <c r="AR664" s="10"/>
      <c r="AS664" s="10"/>
      <c r="AT664" s="10"/>
      <c r="AU664" s="10"/>
      <c r="AV664" s="10"/>
      <c r="AW664" s="10"/>
      <c r="AX664" s="10"/>
      <c r="AY664" s="10"/>
      <c r="AZ664" s="10"/>
      <c r="BA664" s="10"/>
      <c r="BB664" s="10"/>
      <c r="BC664" s="10"/>
      <c r="BD664" s="10"/>
      <c r="BE664" s="10"/>
      <c r="BF664" s="10"/>
      <c r="BG664" s="10"/>
      <c r="BH664" s="10"/>
      <c r="BI664" s="10"/>
      <c r="BJ664" s="10"/>
      <c r="BK664" s="10"/>
      <c r="BL664" s="10"/>
    </row>
    <row r="665" spans="5:64" s="8" customFormat="1" x14ac:dyDescent="0.2">
      <c r="E665" s="85"/>
      <c r="AR665" s="10"/>
      <c r="AS665" s="10"/>
      <c r="AT665" s="10"/>
      <c r="AU665" s="10"/>
      <c r="AV665" s="10"/>
      <c r="AW665" s="10"/>
      <c r="AX665" s="10"/>
      <c r="AY665" s="10"/>
      <c r="AZ665" s="10"/>
      <c r="BA665" s="10"/>
      <c r="BB665" s="10"/>
      <c r="BC665" s="10"/>
      <c r="BD665" s="10"/>
      <c r="BE665" s="10"/>
      <c r="BF665" s="10"/>
      <c r="BG665" s="10"/>
      <c r="BH665" s="10"/>
      <c r="BI665" s="10"/>
      <c r="BJ665" s="10"/>
      <c r="BK665" s="10"/>
      <c r="BL665" s="10"/>
    </row>
    <row r="666" spans="5:64" s="8" customFormat="1" x14ac:dyDescent="0.2">
      <c r="E666" s="85"/>
      <c r="AR666" s="10"/>
      <c r="AS666" s="10"/>
      <c r="AT666" s="10"/>
      <c r="AU666" s="10"/>
      <c r="AV666" s="10"/>
      <c r="AW666" s="10"/>
      <c r="AX666" s="10"/>
      <c r="AY666" s="10"/>
      <c r="AZ666" s="10"/>
      <c r="BA666" s="10"/>
      <c r="BB666" s="10"/>
      <c r="BC666" s="10"/>
      <c r="BD666" s="10"/>
      <c r="BE666" s="10"/>
      <c r="BF666" s="10"/>
      <c r="BG666" s="10"/>
      <c r="BH666" s="10"/>
      <c r="BI666" s="10"/>
      <c r="BJ666" s="10"/>
      <c r="BK666" s="10"/>
      <c r="BL666" s="10"/>
    </row>
    <row r="667" spans="5:64" s="8" customFormat="1" x14ac:dyDescent="0.2">
      <c r="E667" s="85"/>
      <c r="AR667" s="10"/>
      <c r="AS667" s="10"/>
      <c r="AT667" s="10"/>
      <c r="AU667" s="10"/>
      <c r="AV667" s="10"/>
      <c r="AW667" s="10"/>
      <c r="AX667" s="10"/>
      <c r="AY667" s="10"/>
      <c r="AZ667" s="10"/>
      <c r="BA667" s="10"/>
      <c r="BB667" s="10"/>
      <c r="BC667" s="10"/>
      <c r="BD667" s="10"/>
      <c r="BE667" s="10"/>
      <c r="BF667" s="10"/>
      <c r="BG667" s="10"/>
      <c r="BH667" s="10"/>
      <c r="BI667" s="10"/>
      <c r="BJ667" s="10"/>
      <c r="BK667" s="10"/>
      <c r="BL667" s="10"/>
    </row>
    <row r="668" spans="5:64" s="8" customFormat="1" x14ac:dyDescent="0.2">
      <c r="E668" s="85"/>
      <c r="AR668" s="10"/>
      <c r="AS668" s="10"/>
      <c r="AT668" s="10"/>
      <c r="AU668" s="10"/>
      <c r="AV668" s="10"/>
      <c r="AW668" s="10"/>
      <c r="AX668" s="10"/>
      <c r="AY668" s="10"/>
      <c r="AZ668" s="10"/>
      <c r="BA668" s="10"/>
      <c r="BB668" s="10"/>
      <c r="BC668" s="10"/>
      <c r="BD668" s="10"/>
      <c r="BE668" s="10"/>
      <c r="BF668" s="10"/>
      <c r="BG668" s="10"/>
      <c r="BH668" s="10"/>
      <c r="BI668" s="10"/>
      <c r="BJ668" s="10"/>
      <c r="BK668" s="10"/>
      <c r="BL668" s="10"/>
    </row>
    <row r="669" spans="5:64" s="8" customFormat="1" x14ac:dyDescent="0.2">
      <c r="E669" s="85"/>
      <c r="AR669" s="10"/>
      <c r="AS669" s="10"/>
      <c r="AT669" s="10"/>
      <c r="AU669" s="10"/>
      <c r="AV669" s="10"/>
      <c r="AW669" s="10"/>
      <c r="AX669" s="10"/>
      <c r="AY669" s="10"/>
      <c r="AZ669" s="10"/>
      <c r="BA669" s="10"/>
      <c r="BB669" s="10"/>
      <c r="BC669" s="10"/>
      <c r="BD669" s="10"/>
      <c r="BE669" s="10"/>
      <c r="BF669" s="10"/>
      <c r="BG669" s="10"/>
      <c r="BH669" s="10"/>
      <c r="BI669" s="10"/>
      <c r="BJ669" s="10"/>
      <c r="BK669" s="10"/>
      <c r="BL669" s="10"/>
    </row>
    <row r="670" spans="5:64" s="8" customFormat="1" x14ac:dyDescent="0.2">
      <c r="E670" s="85"/>
      <c r="AR670" s="10"/>
      <c r="AS670" s="10"/>
      <c r="AT670" s="10"/>
      <c r="AU670" s="10"/>
      <c r="AV670" s="10"/>
      <c r="AW670" s="10"/>
      <c r="AX670" s="10"/>
      <c r="AY670" s="10"/>
      <c r="AZ670" s="10"/>
      <c r="BA670" s="10"/>
      <c r="BB670" s="10"/>
      <c r="BC670" s="10"/>
      <c r="BD670" s="10"/>
      <c r="BE670" s="10"/>
      <c r="BF670" s="10"/>
      <c r="BG670" s="10"/>
      <c r="BH670" s="10"/>
      <c r="BI670" s="10"/>
      <c r="BJ670" s="10"/>
      <c r="BK670" s="10"/>
      <c r="BL670" s="10"/>
    </row>
    <row r="671" spans="5:64" s="8" customFormat="1" x14ac:dyDescent="0.2">
      <c r="E671" s="85"/>
      <c r="AR671" s="10"/>
      <c r="AS671" s="10"/>
      <c r="AT671" s="10"/>
      <c r="AU671" s="10"/>
      <c r="AV671" s="10"/>
      <c r="AW671" s="10"/>
      <c r="AX671" s="10"/>
      <c r="AY671" s="10"/>
      <c r="AZ671" s="10"/>
      <c r="BA671" s="10"/>
      <c r="BB671" s="10"/>
      <c r="BC671" s="10"/>
      <c r="BD671" s="10"/>
      <c r="BE671" s="10"/>
      <c r="BF671" s="10"/>
      <c r="BG671" s="10"/>
      <c r="BH671" s="10"/>
      <c r="BI671" s="10"/>
      <c r="BJ671" s="10"/>
      <c r="BK671" s="10"/>
      <c r="BL671" s="10"/>
    </row>
    <row r="672" spans="5:64" s="8" customFormat="1" x14ac:dyDescent="0.2">
      <c r="E672" s="85"/>
      <c r="AR672" s="10"/>
      <c r="AS672" s="10"/>
      <c r="AT672" s="10"/>
      <c r="AU672" s="10"/>
      <c r="AV672" s="10"/>
      <c r="AW672" s="10"/>
      <c r="AX672" s="10"/>
      <c r="AY672" s="10"/>
      <c r="AZ672" s="10"/>
      <c r="BA672" s="10"/>
      <c r="BB672" s="10"/>
      <c r="BC672" s="10"/>
      <c r="BD672" s="10"/>
      <c r="BE672" s="10"/>
      <c r="BF672" s="10"/>
      <c r="BG672" s="10"/>
      <c r="BH672" s="10"/>
      <c r="BI672" s="10"/>
      <c r="BJ672" s="10"/>
      <c r="BK672" s="10"/>
      <c r="BL672" s="10"/>
    </row>
    <row r="673" spans="5:64" s="8" customFormat="1" x14ac:dyDescent="0.2">
      <c r="E673" s="85"/>
      <c r="AR673" s="10"/>
      <c r="AS673" s="10"/>
      <c r="AT673" s="10"/>
      <c r="AU673" s="10"/>
      <c r="AV673" s="10"/>
      <c r="AW673" s="10"/>
      <c r="AX673" s="10"/>
      <c r="AY673" s="10"/>
      <c r="AZ673" s="10"/>
      <c r="BA673" s="10"/>
      <c r="BB673" s="10"/>
      <c r="BC673" s="10"/>
      <c r="BD673" s="10"/>
      <c r="BE673" s="10"/>
      <c r="BF673" s="10"/>
      <c r="BG673" s="10"/>
      <c r="BH673" s="10"/>
      <c r="BI673" s="10"/>
      <c r="BJ673" s="10"/>
      <c r="BK673" s="10"/>
      <c r="BL673" s="10"/>
    </row>
    <row r="674" spans="5:64" s="8" customFormat="1" x14ac:dyDescent="0.2">
      <c r="E674" s="85"/>
      <c r="AR674" s="10"/>
      <c r="AS674" s="10"/>
      <c r="AT674" s="10"/>
      <c r="AU674" s="10"/>
      <c r="AV674" s="10"/>
      <c r="AW674" s="10"/>
      <c r="AX674" s="10"/>
      <c r="AY674" s="10"/>
      <c r="AZ674" s="10"/>
      <c r="BA674" s="10"/>
      <c r="BB674" s="10"/>
      <c r="BC674" s="10"/>
      <c r="BD674" s="10"/>
      <c r="BE674" s="10"/>
      <c r="BF674" s="10"/>
      <c r="BG674" s="10"/>
      <c r="BH674" s="10"/>
      <c r="BI674" s="10"/>
      <c r="BJ674" s="10"/>
      <c r="BK674" s="10"/>
      <c r="BL674" s="10"/>
    </row>
    <row r="675" spans="5:64" s="8" customFormat="1" x14ac:dyDescent="0.2">
      <c r="E675" s="85"/>
      <c r="AR675" s="10"/>
      <c r="AS675" s="10"/>
      <c r="AT675" s="10"/>
      <c r="AU675" s="10"/>
      <c r="AV675" s="10"/>
      <c r="AW675" s="10"/>
      <c r="AX675" s="10"/>
      <c r="AY675" s="10"/>
      <c r="AZ675" s="10"/>
      <c r="BA675" s="10"/>
      <c r="BB675" s="10"/>
      <c r="BC675" s="10"/>
      <c r="BD675" s="10"/>
      <c r="BE675" s="10"/>
      <c r="BF675" s="10"/>
      <c r="BG675" s="10"/>
      <c r="BH675" s="10"/>
      <c r="BI675" s="10"/>
      <c r="BJ675" s="10"/>
      <c r="BK675" s="10"/>
      <c r="BL675" s="10"/>
    </row>
    <row r="676" spans="5:64" s="8" customFormat="1" x14ac:dyDescent="0.2">
      <c r="E676" s="85"/>
      <c r="AR676" s="10"/>
      <c r="AS676" s="10"/>
      <c r="AT676" s="10"/>
      <c r="AU676" s="10"/>
      <c r="AV676" s="10"/>
      <c r="AW676" s="10"/>
      <c r="AX676" s="10"/>
      <c r="AY676" s="10"/>
      <c r="AZ676" s="10"/>
      <c r="BA676" s="10"/>
      <c r="BB676" s="10"/>
      <c r="BC676" s="10"/>
      <c r="BD676" s="10"/>
      <c r="BE676" s="10"/>
      <c r="BF676" s="10"/>
      <c r="BG676" s="10"/>
      <c r="BH676" s="10"/>
      <c r="BI676" s="10"/>
      <c r="BJ676" s="10"/>
      <c r="BK676" s="10"/>
      <c r="BL676" s="10"/>
    </row>
    <row r="677" spans="5:64" s="8" customFormat="1" x14ac:dyDescent="0.2">
      <c r="E677" s="85"/>
      <c r="AR677" s="10"/>
      <c r="AS677" s="10"/>
      <c r="AT677" s="10"/>
      <c r="AU677" s="10"/>
      <c r="AV677" s="10"/>
      <c r="AW677" s="10"/>
      <c r="AX677" s="10"/>
      <c r="AY677" s="10"/>
      <c r="AZ677" s="10"/>
      <c r="BA677" s="10"/>
      <c r="BB677" s="10"/>
      <c r="BC677" s="10"/>
      <c r="BD677" s="10"/>
      <c r="BE677" s="10"/>
      <c r="BF677" s="10"/>
      <c r="BG677" s="10"/>
      <c r="BH677" s="10"/>
      <c r="BI677" s="10"/>
      <c r="BJ677" s="10"/>
      <c r="BK677" s="10"/>
      <c r="BL677" s="10"/>
    </row>
    <row r="678" spans="5:64" s="8" customFormat="1" x14ac:dyDescent="0.2">
      <c r="E678" s="85"/>
      <c r="AR678" s="10"/>
      <c r="AS678" s="10"/>
      <c r="AT678" s="10"/>
      <c r="AU678" s="10"/>
      <c r="AV678" s="10"/>
      <c r="AW678" s="10"/>
      <c r="AX678" s="10"/>
      <c r="AY678" s="10"/>
      <c r="AZ678" s="10"/>
      <c r="BA678" s="10"/>
      <c r="BB678" s="10"/>
      <c r="BC678" s="10"/>
      <c r="BD678" s="10"/>
      <c r="BE678" s="10"/>
      <c r="BF678" s="10"/>
      <c r="BG678" s="10"/>
      <c r="BH678" s="10"/>
      <c r="BI678" s="10"/>
      <c r="BJ678" s="10"/>
      <c r="BK678" s="10"/>
      <c r="BL678" s="10"/>
    </row>
    <row r="679" spans="5:64" s="8" customFormat="1" x14ac:dyDescent="0.2">
      <c r="E679" s="85"/>
      <c r="AR679" s="10"/>
      <c r="AS679" s="10"/>
      <c r="AT679" s="10"/>
      <c r="AU679" s="10"/>
      <c r="AV679" s="10"/>
      <c r="AW679" s="10"/>
      <c r="AX679" s="10"/>
      <c r="AY679" s="10"/>
      <c r="AZ679" s="10"/>
      <c r="BA679" s="10"/>
      <c r="BB679" s="10"/>
      <c r="BC679" s="10"/>
      <c r="BD679" s="10"/>
      <c r="BE679" s="10"/>
      <c r="BF679" s="10"/>
      <c r="BG679" s="10"/>
      <c r="BH679" s="10"/>
      <c r="BI679" s="10"/>
      <c r="BJ679" s="10"/>
      <c r="BK679" s="10"/>
      <c r="BL679" s="10"/>
    </row>
    <row r="680" spans="5:64" s="8" customFormat="1" x14ac:dyDescent="0.2">
      <c r="E680" s="85"/>
      <c r="AR680" s="10"/>
      <c r="AS680" s="10"/>
      <c r="AT680" s="10"/>
      <c r="AU680" s="10"/>
      <c r="AV680" s="10"/>
      <c r="AW680" s="10"/>
      <c r="AX680" s="10"/>
      <c r="AY680" s="10"/>
      <c r="AZ680" s="10"/>
      <c r="BA680" s="10"/>
      <c r="BB680" s="10"/>
      <c r="BC680" s="10"/>
      <c r="BD680" s="10"/>
      <c r="BE680" s="10"/>
      <c r="BF680" s="10"/>
      <c r="BG680" s="10"/>
      <c r="BH680" s="10"/>
      <c r="BI680" s="10"/>
      <c r="BJ680" s="10"/>
      <c r="BK680" s="10"/>
      <c r="BL680" s="10"/>
    </row>
    <row r="681" spans="5:64" s="8" customFormat="1" x14ac:dyDescent="0.2">
      <c r="E681" s="85"/>
      <c r="AR681" s="10"/>
      <c r="AS681" s="10"/>
      <c r="AT681" s="10"/>
      <c r="AU681" s="10"/>
      <c r="AV681" s="10"/>
      <c r="AW681" s="10"/>
      <c r="AX681" s="10"/>
      <c r="AY681" s="10"/>
      <c r="AZ681" s="10"/>
      <c r="BA681" s="10"/>
      <c r="BB681" s="10"/>
      <c r="BC681" s="10"/>
      <c r="BD681" s="10"/>
      <c r="BE681" s="10"/>
      <c r="BF681" s="10"/>
      <c r="BG681" s="10"/>
      <c r="BH681" s="10"/>
      <c r="BI681" s="10"/>
      <c r="BJ681" s="10"/>
      <c r="BK681" s="10"/>
      <c r="BL681" s="10"/>
    </row>
    <row r="682" spans="5:64" s="8" customFormat="1" x14ac:dyDescent="0.2">
      <c r="E682" s="85"/>
      <c r="AR682" s="10"/>
      <c r="AS682" s="10"/>
      <c r="AT682" s="10"/>
      <c r="AU682" s="10"/>
      <c r="AV682" s="10"/>
      <c r="AW682" s="10"/>
      <c r="AX682" s="10"/>
      <c r="AY682" s="10"/>
      <c r="AZ682" s="10"/>
      <c r="BA682" s="10"/>
      <c r="BB682" s="10"/>
      <c r="BC682" s="10"/>
      <c r="BD682" s="10"/>
      <c r="BE682" s="10"/>
      <c r="BF682" s="10"/>
      <c r="BG682" s="10"/>
      <c r="BH682" s="10"/>
      <c r="BI682" s="10"/>
      <c r="BJ682" s="10"/>
      <c r="BK682" s="10"/>
      <c r="BL682" s="10"/>
    </row>
    <row r="683" spans="5:64" s="8" customFormat="1" x14ac:dyDescent="0.2">
      <c r="E683" s="85"/>
      <c r="AR683" s="10"/>
      <c r="AS683" s="10"/>
      <c r="AT683" s="10"/>
      <c r="AU683" s="10"/>
      <c r="AV683" s="10"/>
      <c r="AW683" s="10"/>
      <c r="AX683" s="10"/>
      <c r="AY683" s="10"/>
      <c r="AZ683" s="10"/>
      <c r="BA683" s="10"/>
      <c r="BB683" s="10"/>
      <c r="BC683" s="10"/>
      <c r="BD683" s="10"/>
      <c r="BE683" s="10"/>
      <c r="BF683" s="10"/>
      <c r="BG683" s="10"/>
      <c r="BH683" s="10"/>
      <c r="BI683" s="10"/>
      <c r="BJ683" s="10"/>
      <c r="BK683" s="10"/>
      <c r="BL683" s="10"/>
    </row>
    <row r="684" spans="5:64" s="8" customFormat="1" x14ac:dyDescent="0.2">
      <c r="E684" s="85"/>
      <c r="AR684" s="10"/>
      <c r="AS684" s="10"/>
      <c r="AT684" s="10"/>
      <c r="AU684" s="10"/>
      <c r="AV684" s="10"/>
      <c r="AW684" s="10"/>
      <c r="AX684" s="10"/>
      <c r="AY684" s="10"/>
      <c r="AZ684" s="10"/>
      <c r="BA684" s="10"/>
      <c r="BB684" s="10"/>
      <c r="BC684" s="10"/>
      <c r="BD684" s="10"/>
      <c r="BE684" s="10"/>
      <c r="BF684" s="10"/>
      <c r="BG684" s="10"/>
      <c r="BH684" s="10"/>
      <c r="BI684" s="10"/>
      <c r="BJ684" s="10"/>
      <c r="BK684" s="10"/>
      <c r="BL684" s="10"/>
    </row>
    <row r="685" spans="5:64" s="8" customFormat="1" x14ac:dyDescent="0.2">
      <c r="E685" s="85"/>
      <c r="AR685" s="10"/>
      <c r="AS685" s="10"/>
      <c r="AT685" s="10"/>
      <c r="AU685" s="10"/>
      <c r="AV685" s="10"/>
      <c r="AW685" s="10"/>
      <c r="AX685" s="10"/>
      <c r="AY685" s="10"/>
      <c r="AZ685" s="10"/>
      <c r="BA685" s="10"/>
      <c r="BB685" s="10"/>
      <c r="BC685" s="10"/>
      <c r="BD685" s="10"/>
      <c r="BE685" s="10"/>
      <c r="BF685" s="10"/>
      <c r="BG685" s="10"/>
      <c r="BH685" s="10"/>
      <c r="BI685" s="10"/>
      <c r="BJ685" s="10"/>
      <c r="BK685" s="10"/>
      <c r="BL685" s="10"/>
    </row>
    <row r="686" spans="5:64" s="8" customFormat="1" x14ac:dyDescent="0.2">
      <c r="E686" s="85"/>
      <c r="AR686" s="10"/>
      <c r="AS686" s="10"/>
      <c r="AT686" s="10"/>
      <c r="AU686" s="10"/>
      <c r="AV686" s="10"/>
      <c r="AW686" s="10"/>
      <c r="AX686" s="10"/>
      <c r="AY686" s="10"/>
      <c r="AZ686" s="10"/>
      <c r="BA686" s="10"/>
      <c r="BB686" s="10"/>
      <c r="BC686" s="10"/>
      <c r="BD686" s="10"/>
      <c r="BE686" s="10"/>
      <c r="BF686" s="10"/>
      <c r="BG686" s="10"/>
      <c r="BH686" s="10"/>
      <c r="BI686" s="10"/>
      <c r="BJ686" s="10"/>
      <c r="BK686" s="10"/>
      <c r="BL686" s="10"/>
    </row>
    <row r="687" spans="5:64" s="8" customFormat="1" x14ac:dyDescent="0.2">
      <c r="E687" s="85"/>
      <c r="AR687" s="10"/>
      <c r="AS687" s="10"/>
      <c r="AT687" s="10"/>
      <c r="AU687" s="10"/>
      <c r="AV687" s="10"/>
      <c r="AW687" s="10"/>
      <c r="AX687" s="10"/>
      <c r="AY687" s="10"/>
      <c r="AZ687" s="10"/>
      <c r="BA687" s="10"/>
      <c r="BB687" s="10"/>
      <c r="BC687" s="10"/>
      <c r="BD687" s="10"/>
      <c r="BE687" s="10"/>
      <c r="BF687" s="10"/>
      <c r="BG687" s="10"/>
      <c r="BH687" s="10"/>
      <c r="BI687" s="10"/>
      <c r="BJ687" s="10"/>
      <c r="BK687" s="10"/>
      <c r="BL687" s="10"/>
    </row>
    <row r="688" spans="5:64" s="8" customFormat="1" x14ac:dyDescent="0.2">
      <c r="E688" s="85"/>
      <c r="AR688" s="10"/>
      <c r="AS688" s="10"/>
      <c r="AT688" s="10"/>
      <c r="AU688" s="10"/>
      <c r="AV688" s="10"/>
      <c r="AW688" s="10"/>
      <c r="AX688" s="10"/>
      <c r="AY688" s="10"/>
      <c r="AZ688" s="10"/>
      <c r="BA688" s="10"/>
      <c r="BB688" s="10"/>
      <c r="BC688" s="10"/>
      <c r="BD688" s="10"/>
      <c r="BE688" s="10"/>
      <c r="BF688" s="10"/>
      <c r="BG688" s="10"/>
      <c r="BH688" s="10"/>
      <c r="BI688" s="10"/>
      <c r="BJ688" s="10"/>
      <c r="BK688" s="10"/>
      <c r="BL688" s="10"/>
    </row>
    <row r="689" spans="5:64" s="8" customFormat="1" x14ac:dyDescent="0.2">
      <c r="E689" s="85"/>
      <c r="AR689" s="10"/>
      <c r="AS689" s="10"/>
      <c r="AT689" s="10"/>
      <c r="AU689" s="10"/>
      <c r="AV689" s="10"/>
      <c r="AW689" s="10"/>
      <c r="AX689" s="10"/>
      <c r="AY689" s="10"/>
      <c r="AZ689" s="10"/>
      <c r="BA689" s="10"/>
      <c r="BB689" s="10"/>
      <c r="BC689" s="10"/>
      <c r="BD689" s="10"/>
      <c r="BE689" s="10"/>
      <c r="BF689" s="10"/>
      <c r="BG689" s="10"/>
      <c r="BH689" s="10"/>
      <c r="BI689" s="10"/>
      <c r="BJ689" s="10"/>
      <c r="BK689" s="10"/>
      <c r="BL689" s="10"/>
    </row>
    <row r="690" spans="5:64" s="8" customFormat="1" x14ac:dyDescent="0.2">
      <c r="E690" s="85"/>
      <c r="AR690" s="10"/>
      <c r="AS690" s="10"/>
      <c r="AT690" s="10"/>
      <c r="AU690" s="10"/>
      <c r="AV690" s="10"/>
      <c r="AW690" s="10"/>
      <c r="AX690" s="10"/>
      <c r="AY690" s="10"/>
      <c r="AZ690" s="10"/>
      <c r="BA690" s="10"/>
      <c r="BB690" s="10"/>
      <c r="BC690" s="10"/>
      <c r="BD690" s="10"/>
      <c r="BE690" s="10"/>
      <c r="BF690" s="10"/>
      <c r="BG690" s="10"/>
      <c r="BH690" s="10"/>
      <c r="BI690" s="10"/>
      <c r="BJ690" s="10"/>
      <c r="BK690" s="10"/>
      <c r="BL690" s="10"/>
    </row>
    <row r="691" spans="5:64" s="8" customFormat="1" x14ac:dyDescent="0.2">
      <c r="E691" s="85"/>
      <c r="AR691" s="10"/>
      <c r="AS691" s="10"/>
      <c r="AT691" s="10"/>
      <c r="AU691" s="10"/>
      <c r="AV691" s="10"/>
      <c r="AW691" s="10"/>
      <c r="AX691" s="10"/>
      <c r="AY691" s="10"/>
      <c r="AZ691" s="10"/>
      <c r="BA691" s="10"/>
      <c r="BB691" s="10"/>
      <c r="BC691" s="10"/>
      <c r="BD691" s="10"/>
      <c r="BE691" s="10"/>
      <c r="BF691" s="10"/>
      <c r="BG691" s="10"/>
      <c r="BH691" s="10"/>
      <c r="BI691" s="10"/>
      <c r="BJ691" s="10"/>
      <c r="BK691" s="10"/>
      <c r="BL691" s="10"/>
    </row>
    <row r="692" spans="5:64" s="8" customFormat="1" x14ac:dyDescent="0.2">
      <c r="E692" s="85"/>
      <c r="AR692" s="10"/>
      <c r="AS692" s="10"/>
      <c r="AT692" s="10"/>
      <c r="AU692" s="10"/>
      <c r="AV692" s="10"/>
      <c r="AW692" s="10"/>
      <c r="AX692" s="10"/>
      <c r="AY692" s="10"/>
      <c r="AZ692" s="10"/>
      <c r="BA692" s="10"/>
      <c r="BB692" s="10"/>
      <c r="BC692" s="10"/>
      <c r="BD692" s="10"/>
      <c r="BE692" s="10"/>
      <c r="BF692" s="10"/>
      <c r="BG692" s="10"/>
      <c r="BH692" s="10"/>
      <c r="BI692" s="10"/>
      <c r="BJ692" s="10"/>
      <c r="BK692" s="10"/>
      <c r="BL692" s="10"/>
    </row>
    <row r="693" spans="5:64" s="8" customFormat="1" x14ac:dyDescent="0.2">
      <c r="E693" s="85"/>
      <c r="AR693" s="10"/>
      <c r="AS693" s="10"/>
      <c r="AT693" s="10"/>
      <c r="AU693" s="10"/>
      <c r="AV693" s="10"/>
      <c r="AW693" s="10"/>
      <c r="AX693" s="10"/>
      <c r="AY693" s="10"/>
      <c r="AZ693" s="10"/>
      <c r="BA693" s="10"/>
      <c r="BB693" s="10"/>
      <c r="BC693" s="10"/>
      <c r="BD693" s="10"/>
      <c r="BE693" s="10"/>
      <c r="BF693" s="10"/>
      <c r="BG693" s="10"/>
      <c r="BH693" s="10"/>
      <c r="BI693" s="10"/>
      <c r="BJ693" s="10"/>
      <c r="BK693" s="10"/>
      <c r="BL693" s="10"/>
    </row>
    <row r="694" spans="5:64" s="8" customFormat="1" x14ac:dyDescent="0.2">
      <c r="E694" s="85"/>
      <c r="AR694" s="10"/>
      <c r="AS694" s="10"/>
      <c r="AT694" s="10"/>
      <c r="AU694" s="10"/>
      <c r="AV694" s="10"/>
      <c r="AW694" s="10"/>
      <c r="AX694" s="10"/>
      <c r="AY694" s="10"/>
      <c r="AZ694" s="10"/>
      <c r="BA694" s="10"/>
      <c r="BB694" s="10"/>
      <c r="BC694" s="10"/>
      <c r="BD694" s="10"/>
      <c r="BE694" s="10"/>
      <c r="BF694" s="10"/>
      <c r="BG694" s="10"/>
      <c r="BH694" s="10"/>
      <c r="BI694" s="10"/>
      <c r="BJ694" s="10"/>
      <c r="BK694" s="10"/>
      <c r="BL694" s="10"/>
    </row>
    <row r="695" spans="5:64" s="8" customFormat="1" x14ac:dyDescent="0.2">
      <c r="E695" s="85"/>
      <c r="AR695" s="10"/>
      <c r="AS695" s="10"/>
      <c r="AT695" s="10"/>
      <c r="AU695" s="10"/>
      <c r="AV695" s="10"/>
      <c r="AW695" s="10"/>
      <c r="AX695" s="10"/>
      <c r="AY695" s="10"/>
      <c r="AZ695" s="10"/>
      <c r="BA695" s="10"/>
      <c r="BB695" s="10"/>
      <c r="BC695" s="10"/>
      <c r="BD695" s="10"/>
      <c r="BE695" s="10"/>
      <c r="BF695" s="10"/>
      <c r="BG695" s="10"/>
      <c r="BH695" s="10"/>
      <c r="BI695" s="10"/>
      <c r="BJ695" s="10"/>
      <c r="BK695" s="10"/>
      <c r="BL695" s="10"/>
    </row>
    <row r="696" spans="5:64" s="8" customFormat="1" x14ac:dyDescent="0.2">
      <c r="E696" s="85"/>
      <c r="AR696" s="10"/>
      <c r="AS696" s="10"/>
      <c r="AT696" s="10"/>
      <c r="AU696" s="10"/>
      <c r="AV696" s="10"/>
      <c r="AW696" s="10"/>
      <c r="AX696" s="10"/>
      <c r="AY696" s="10"/>
      <c r="AZ696" s="10"/>
      <c r="BA696" s="10"/>
      <c r="BB696" s="10"/>
      <c r="BC696" s="10"/>
      <c r="BD696" s="10"/>
      <c r="BE696" s="10"/>
      <c r="BF696" s="10"/>
      <c r="BG696" s="10"/>
      <c r="BH696" s="10"/>
      <c r="BI696" s="10"/>
      <c r="BJ696" s="10"/>
      <c r="BK696" s="10"/>
      <c r="BL696" s="10"/>
    </row>
    <row r="697" spans="5:64" s="8" customFormat="1" x14ac:dyDescent="0.2">
      <c r="E697" s="85"/>
      <c r="AR697" s="10"/>
      <c r="AS697" s="10"/>
      <c r="AT697" s="10"/>
      <c r="AU697" s="10"/>
      <c r="AV697" s="10"/>
      <c r="AW697" s="10"/>
      <c r="AX697" s="10"/>
      <c r="AY697" s="10"/>
      <c r="AZ697" s="10"/>
      <c r="BA697" s="10"/>
      <c r="BB697" s="10"/>
      <c r="BC697" s="10"/>
      <c r="BD697" s="10"/>
      <c r="BE697" s="10"/>
      <c r="BF697" s="10"/>
      <c r="BG697" s="10"/>
      <c r="BH697" s="10"/>
      <c r="BI697" s="10"/>
      <c r="BJ697" s="10"/>
      <c r="BK697" s="10"/>
      <c r="BL697" s="10"/>
    </row>
    <row r="698" spans="5:64" s="8" customFormat="1" x14ac:dyDescent="0.2">
      <c r="E698" s="85"/>
      <c r="AR698" s="10"/>
      <c r="AS698" s="10"/>
      <c r="AT698" s="10"/>
      <c r="AU698" s="10"/>
      <c r="AV698" s="10"/>
      <c r="AW698" s="10"/>
      <c r="AX698" s="10"/>
      <c r="AY698" s="10"/>
      <c r="AZ698" s="10"/>
      <c r="BA698" s="10"/>
      <c r="BB698" s="10"/>
      <c r="BC698" s="10"/>
      <c r="BD698" s="10"/>
      <c r="BE698" s="10"/>
      <c r="BF698" s="10"/>
      <c r="BG698" s="10"/>
      <c r="BH698" s="10"/>
      <c r="BI698" s="10"/>
      <c r="BJ698" s="10"/>
      <c r="BK698" s="10"/>
      <c r="BL698" s="10"/>
    </row>
    <row r="699" spans="5:64" s="8" customFormat="1" x14ac:dyDescent="0.2">
      <c r="E699" s="85"/>
      <c r="AR699" s="10"/>
      <c r="AS699" s="10"/>
      <c r="AT699" s="10"/>
      <c r="AU699" s="10"/>
      <c r="AV699" s="10"/>
      <c r="AW699" s="10"/>
      <c r="AX699" s="10"/>
      <c r="AY699" s="10"/>
      <c r="AZ699" s="10"/>
      <c r="BA699" s="10"/>
      <c r="BB699" s="10"/>
      <c r="BC699" s="10"/>
      <c r="BD699" s="10"/>
      <c r="BE699" s="10"/>
      <c r="BF699" s="10"/>
      <c r="BG699" s="10"/>
      <c r="BH699" s="10"/>
      <c r="BI699" s="10"/>
      <c r="BJ699" s="10"/>
      <c r="BK699" s="10"/>
      <c r="BL699" s="10"/>
    </row>
    <row r="700" spans="5:64" s="8" customFormat="1" x14ac:dyDescent="0.2">
      <c r="E700" s="85"/>
      <c r="AR700" s="10"/>
      <c r="AS700" s="10"/>
      <c r="AT700" s="10"/>
      <c r="AU700" s="10"/>
      <c r="AV700" s="10"/>
      <c r="AW700" s="10"/>
      <c r="AX700" s="10"/>
      <c r="AY700" s="10"/>
      <c r="AZ700" s="10"/>
      <c r="BA700" s="10"/>
      <c r="BB700" s="10"/>
      <c r="BC700" s="10"/>
      <c r="BD700" s="10"/>
      <c r="BE700" s="10"/>
      <c r="BF700" s="10"/>
      <c r="BG700" s="10"/>
      <c r="BH700" s="10"/>
      <c r="BI700" s="10"/>
      <c r="BJ700" s="10"/>
      <c r="BK700" s="10"/>
      <c r="BL700" s="10"/>
    </row>
    <row r="701" spans="5:64" s="8" customFormat="1" x14ac:dyDescent="0.2">
      <c r="E701" s="85"/>
      <c r="AR701" s="10"/>
      <c r="AS701" s="10"/>
      <c r="AT701" s="10"/>
      <c r="AU701" s="10"/>
      <c r="AV701" s="10"/>
      <c r="AW701" s="10"/>
      <c r="AX701" s="10"/>
      <c r="AY701" s="10"/>
      <c r="AZ701" s="10"/>
      <c r="BA701" s="10"/>
      <c r="BB701" s="10"/>
      <c r="BC701" s="10"/>
      <c r="BD701" s="10"/>
      <c r="BE701" s="10"/>
      <c r="BF701" s="10"/>
      <c r="BG701" s="10"/>
      <c r="BH701" s="10"/>
      <c r="BI701" s="10"/>
      <c r="BJ701" s="10"/>
      <c r="BK701" s="10"/>
      <c r="BL701" s="10"/>
    </row>
    <row r="702" spans="5:64" s="8" customFormat="1" x14ac:dyDescent="0.2">
      <c r="E702" s="85"/>
      <c r="AR702" s="10"/>
      <c r="AS702" s="10"/>
      <c r="AT702" s="10"/>
      <c r="AU702" s="10"/>
      <c r="AV702" s="10"/>
      <c r="AW702" s="10"/>
      <c r="AX702" s="10"/>
      <c r="AY702" s="10"/>
      <c r="AZ702" s="10"/>
      <c r="BA702" s="10"/>
      <c r="BB702" s="10"/>
      <c r="BC702" s="10"/>
      <c r="BD702" s="10"/>
      <c r="BE702" s="10"/>
      <c r="BF702" s="10"/>
      <c r="BG702" s="10"/>
      <c r="BH702" s="10"/>
      <c r="BI702" s="10"/>
      <c r="BJ702" s="10"/>
      <c r="BK702" s="10"/>
      <c r="BL702" s="10"/>
    </row>
    <row r="703" spans="5:64" s="8" customFormat="1" x14ac:dyDescent="0.2">
      <c r="E703" s="85"/>
      <c r="AR703" s="10"/>
      <c r="AS703" s="10"/>
      <c r="AT703" s="10"/>
      <c r="AU703" s="10"/>
      <c r="AV703" s="10"/>
      <c r="AW703" s="10"/>
      <c r="AX703" s="10"/>
      <c r="AY703" s="10"/>
      <c r="AZ703" s="10"/>
      <c r="BA703" s="10"/>
      <c r="BB703" s="10"/>
      <c r="BC703" s="10"/>
      <c r="BD703" s="10"/>
      <c r="BE703" s="10"/>
      <c r="BF703" s="10"/>
      <c r="BG703" s="10"/>
      <c r="BH703" s="10"/>
      <c r="BI703" s="10"/>
      <c r="BJ703" s="10"/>
      <c r="BK703" s="10"/>
      <c r="BL703" s="10"/>
    </row>
    <row r="704" spans="5:64" s="8" customFormat="1" x14ac:dyDescent="0.2">
      <c r="E704" s="85"/>
      <c r="AR704" s="10"/>
      <c r="AS704" s="10"/>
      <c r="AT704" s="10"/>
      <c r="AU704" s="10"/>
      <c r="AV704" s="10"/>
      <c r="AW704" s="10"/>
      <c r="AX704" s="10"/>
      <c r="AY704" s="10"/>
      <c r="AZ704" s="10"/>
      <c r="BA704" s="10"/>
      <c r="BB704" s="10"/>
      <c r="BC704" s="10"/>
      <c r="BD704" s="10"/>
      <c r="BE704" s="10"/>
      <c r="BF704" s="10"/>
      <c r="BG704" s="10"/>
      <c r="BH704" s="10"/>
      <c r="BI704" s="10"/>
      <c r="BJ704" s="10"/>
      <c r="BK704" s="10"/>
      <c r="BL704" s="10"/>
    </row>
    <row r="705" spans="5:64" s="8" customFormat="1" x14ac:dyDescent="0.2">
      <c r="E705" s="85"/>
      <c r="AR705" s="10"/>
      <c r="AS705" s="10"/>
      <c r="AT705" s="10"/>
      <c r="AU705" s="10"/>
      <c r="AV705" s="10"/>
      <c r="AW705" s="10"/>
      <c r="AX705" s="10"/>
      <c r="AY705" s="10"/>
      <c r="AZ705" s="10"/>
      <c r="BA705" s="10"/>
      <c r="BB705" s="10"/>
      <c r="BC705" s="10"/>
      <c r="BD705" s="10"/>
      <c r="BE705" s="10"/>
      <c r="BF705" s="10"/>
      <c r="BG705" s="10"/>
      <c r="BH705" s="10"/>
      <c r="BI705" s="10"/>
      <c r="BJ705" s="10"/>
      <c r="BK705" s="10"/>
      <c r="BL705" s="10"/>
    </row>
    <row r="706" spans="5:64" s="8" customFormat="1" x14ac:dyDescent="0.2">
      <c r="E706" s="85"/>
      <c r="AR706" s="10"/>
      <c r="AS706" s="10"/>
      <c r="AT706" s="10"/>
      <c r="AU706" s="10"/>
      <c r="AV706" s="10"/>
      <c r="AW706" s="10"/>
      <c r="AX706" s="10"/>
      <c r="AY706" s="10"/>
      <c r="AZ706" s="10"/>
      <c r="BA706" s="10"/>
      <c r="BB706" s="10"/>
      <c r="BC706" s="10"/>
      <c r="BD706" s="10"/>
      <c r="BE706" s="10"/>
      <c r="BF706" s="10"/>
      <c r="BG706" s="10"/>
      <c r="BH706" s="10"/>
      <c r="BI706" s="10"/>
      <c r="BJ706" s="10"/>
      <c r="BK706" s="10"/>
      <c r="BL706" s="10"/>
    </row>
    <row r="707" spans="5:64" s="8" customFormat="1" x14ac:dyDescent="0.2">
      <c r="E707" s="85"/>
      <c r="AR707" s="10"/>
      <c r="AS707" s="10"/>
      <c r="AT707" s="10"/>
      <c r="AU707" s="10"/>
      <c r="AV707" s="10"/>
      <c r="AW707" s="10"/>
      <c r="AX707" s="10"/>
      <c r="AY707" s="10"/>
      <c r="AZ707" s="10"/>
      <c r="BA707" s="10"/>
      <c r="BB707" s="10"/>
      <c r="BC707" s="10"/>
      <c r="BD707" s="10"/>
      <c r="BE707" s="10"/>
      <c r="BF707" s="10"/>
      <c r="BG707" s="10"/>
      <c r="BH707" s="10"/>
      <c r="BI707" s="10"/>
      <c r="BJ707" s="10"/>
      <c r="BK707" s="10"/>
      <c r="BL707" s="10"/>
    </row>
    <row r="708" spans="5:64" s="8" customFormat="1" x14ac:dyDescent="0.2">
      <c r="E708" s="85"/>
      <c r="AR708" s="10"/>
      <c r="AS708" s="10"/>
      <c r="AT708" s="10"/>
      <c r="AU708" s="10"/>
      <c r="AV708" s="10"/>
      <c r="AW708" s="10"/>
      <c r="AX708" s="10"/>
      <c r="AY708" s="10"/>
      <c r="AZ708" s="10"/>
      <c r="BA708" s="10"/>
      <c r="BB708" s="10"/>
      <c r="BC708" s="10"/>
      <c r="BD708" s="10"/>
      <c r="BE708" s="10"/>
      <c r="BF708" s="10"/>
      <c r="BG708" s="10"/>
      <c r="BH708" s="10"/>
      <c r="BI708" s="10"/>
      <c r="BJ708" s="10"/>
      <c r="BK708" s="10"/>
      <c r="BL708" s="10"/>
    </row>
    <row r="709" spans="5:64" s="8" customFormat="1" x14ac:dyDescent="0.2">
      <c r="E709" s="85"/>
      <c r="AR709" s="10"/>
      <c r="AS709" s="10"/>
      <c r="AT709" s="10"/>
      <c r="AU709" s="10"/>
      <c r="AV709" s="10"/>
      <c r="AW709" s="10"/>
      <c r="AX709" s="10"/>
      <c r="AY709" s="10"/>
      <c r="AZ709" s="10"/>
      <c r="BA709" s="10"/>
      <c r="BB709" s="10"/>
      <c r="BC709" s="10"/>
      <c r="BD709" s="10"/>
      <c r="BE709" s="10"/>
      <c r="BF709" s="10"/>
      <c r="BG709" s="10"/>
      <c r="BH709" s="10"/>
      <c r="BI709" s="10"/>
      <c r="BJ709" s="10"/>
      <c r="BK709" s="10"/>
      <c r="BL709" s="10"/>
    </row>
    <row r="710" spans="5:64" s="8" customFormat="1" x14ac:dyDescent="0.2">
      <c r="E710" s="85"/>
      <c r="AR710" s="10"/>
      <c r="AS710" s="10"/>
      <c r="AT710" s="10"/>
      <c r="AU710" s="10"/>
      <c r="AV710" s="10"/>
      <c r="AW710" s="10"/>
      <c r="AX710" s="10"/>
      <c r="AY710" s="10"/>
      <c r="AZ710" s="10"/>
      <c r="BA710" s="10"/>
      <c r="BB710" s="10"/>
      <c r="BC710" s="10"/>
      <c r="BD710" s="10"/>
      <c r="BE710" s="10"/>
      <c r="BF710" s="10"/>
      <c r="BG710" s="10"/>
      <c r="BH710" s="10"/>
      <c r="BI710" s="10"/>
      <c r="BJ710" s="10"/>
      <c r="BK710" s="10"/>
      <c r="BL710" s="10"/>
    </row>
    <row r="711" spans="5:64" s="8" customFormat="1" x14ac:dyDescent="0.2">
      <c r="E711" s="85"/>
      <c r="AR711" s="10"/>
      <c r="AS711" s="10"/>
      <c r="AT711" s="10"/>
      <c r="AU711" s="10"/>
      <c r="AV711" s="10"/>
      <c r="AW711" s="10"/>
      <c r="AX711" s="10"/>
      <c r="AY711" s="10"/>
      <c r="AZ711" s="10"/>
      <c r="BA711" s="10"/>
      <c r="BB711" s="10"/>
      <c r="BC711" s="10"/>
      <c r="BD711" s="10"/>
      <c r="BE711" s="10"/>
      <c r="BF711" s="10"/>
      <c r="BG711" s="10"/>
      <c r="BH711" s="10"/>
      <c r="BI711" s="10"/>
      <c r="BJ711" s="10"/>
      <c r="BK711" s="10"/>
      <c r="BL711" s="10"/>
    </row>
    <row r="712" spans="5:64" s="8" customFormat="1" x14ac:dyDescent="0.2">
      <c r="E712" s="85"/>
      <c r="AR712" s="10"/>
      <c r="AS712" s="10"/>
      <c r="AT712" s="10"/>
      <c r="AU712" s="10"/>
      <c r="AV712" s="10"/>
      <c r="AW712" s="10"/>
      <c r="AX712" s="10"/>
      <c r="AY712" s="10"/>
      <c r="AZ712" s="10"/>
      <c r="BA712" s="10"/>
      <c r="BB712" s="10"/>
      <c r="BC712" s="10"/>
      <c r="BD712" s="10"/>
      <c r="BE712" s="10"/>
      <c r="BF712" s="10"/>
      <c r="BG712" s="10"/>
      <c r="BH712" s="10"/>
      <c r="BI712" s="10"/>
      <c r="BJ712" s="10"/>
      <c r="BK712" s="10"/>
      <c r="BL712" s="10"/>
    </row>
    <row r="713" spans="5:64" s="8" customFormat="1" x14ac:dyDescent="0.2">
      <c r="E713" s="85"/>
      <c r="AR713" s="10"/>
      <c r="AS713" s="10"/>
      <c r="AT713" s="10"/>
      <c r="AU713" s="10"/>
      <c r="AV713" s="10"/>
      <c r="AW713" s="10"/>
      <c r="AX713" s="10"/>
      <c r="AY713" s="10"/>
      <c r="AZ713" s="10"/>
      <c r="BA713" s="10"/>
      <c r="BB713" s="10"/>
      <c r="BC713" s="10"/>
      <c r="BD713" s="10"/>
      <c r="BE713" s="10"/>
      <c r="BF713" s="10"/>
      <c r="BG713" s="10"/>
      <c r="BH713" s="10"/>
      <c r="BI713" s="10"/>
      <c r="BJ713" s="10"/>
      <c r="BK713" s="10"/>
      <c r="BL713" s="10"/>
    </row>
    <row r="714" spans="5:64" s="8" customFormat="1" x14ac:dyDescent="0.2">
      <c r="E714" s="85"/>
      <c r="AR714" s="10"/>
      <c r="AS714" s="10"/>
      <c r="AT714" s="10"/>
      <c r="AU714" s="10"/>
      <c r="AV714" s="10"/>
      <c r="AW714" s="10"/>
      <c r="AX714" s="10"/>
      <c r="AY714" s="10"/>
      <c r="AZ714" s="10"/>
      <c r="BA714" s="10"/>
      <c r="BB714" s="10"/>
      <c r="BC714" s="10"/>
      <c r="BD714" s="10"/>
      <c r="BE714" s="10"/>
      <c r="BF714" s="10"/>
      <c r="BG714" s="10"/>
      <c r="BH714" s="10"/>
      <c r="BI714" s="10"/>
      <c r="BJ714" s="10"/>
      <c r="BK714" s="10"/>
      <c r="BL714" s="10"/>
    </row>
    <row r="715" spans="5:64" s="8" customFormat="1" x14ac:dyDescent="0.2">
      <c r="E715" s="85"/>
      <c r="AR715" s="10"/>
      <c r="AS715" s="10"/>
      <c r="AT715" s="10"/>
      <c r="AU715" s="10"/>
      <c r="AV715" s="10"/>
      <c r="AW715" s="10"/>
      <c r="AX715" s="10"/>
      <c r="AY715" s="10"/>
      <c r="AZ715" s="10"/>
      <c r="BA715" s="10"/>
      <c r="BB715" s="10"/>
      <c r="BC715" s="10"/>
      <c r="BD715" s="10"/>
      <c r="BE715" s="10"/>
      <c r="BF715" s="10"/>
      <c r="BG715" s="10"/>
      <c r="BH715" s="10"/>
      <c r="BI715" s="10"/>
      <c r="BJ715" s="10"/>
      <c r="BK715" s="10"/>
      <c r="BL715" s="10"/>
    </row>
    <row r="716" spans="5:64" s="8" customFormat="1" x14ac:dyDescent="0.2">
      <c r="E716" s="85"/>
      <c r="AR716" s="10"/>
      <c r="AS716" s="10"/>
      <c r="AT716" s="10"/>
      <c r="AU716" s="10"/>
      <c r="AV716" s="10"/>
      <c r="AW716" s="10"/>
      <c r="AX716" s="10"/>
      <c r="AY716" s="10"/>
      <c r="AZ716" s="10"/>
      <c r="BA716" s="10"/>
      <c r="BB716" s="10"/>
      <c r="BC716" s="10"/>
      <c r="BD716" s="10"/>
      <c r="BE716" s="10"/>
      <c r="BF716" s="10"/>
      <c r="BG716" s="10"/>
      <c r="BH716" s="10"/>
      <c r="BI716" s="10"/>
      <c r="BJ716" s="10"/>
      <c r="BK716" s="10"/>
      <c r="BL716" s="10"/>
    </row>
    <row r="717" spans="5:64" s="8" customFormat="1" x14ac:dyDescent="0.2">
      <c r="E717" s="85"/>
      <c r="AR717" s="10"/>
      <c r="AS717" s="10"/>
      <c r="AT717" s="10"/>
      <c r="AU717" s="10"/>
      <c r="AV717" s="10"/>
      <c r="AW717" s="10"/>
      <c r="AX717" s="10"/>
      <c r="AY717" s="10"/>
      <c r="AZ717" s="10"/>
      <c r="BA717" s="10"/>
      <c r="BB717" s="10"/>
      <c r="BC717" s="10"/>
      <c r="BD717" s="10"/>
      <c r="BE717" s="10"/>
      <c r="BF717" s="10"/>
      <c r="BG717" s="10"/>
      <c r="BH717" s="10"/>
      <c r="BI717" s="10"/>
      <c r="BJ717" s="10"/>
      <c r="BK717" s="10"/>
      <c r="BL717" s="10"/>
    </row>
    <row r="718" spans="5:64" s="8" customFormat="1" x14ac:dyDescent="0.2">
      <c r="E718" s="85"/>
      <c r="AR718" s="10"/>
      <c r="AS718" s="10"/>
      <c r="AT718" s="10"/>
      <c r="AU718" s="10"/>
      <c r="AV718" s="10"/>
      <c r="AW718" s="10"/>
      <c r="AX718" s="10"/>
      <c r="AY718" s="10"/>
      <c r="AZ718" s="10"/>
      <c r="BA718" s="10"/>
      <c r="BB718" s="10"/>
      <c r="BC718" s="10"/>
      <c r="BD718" s="10"/>
      <c r="BE718" s="10"/>
      <c r="BF718" s="10"/>
      <c r="BG718" s="10"/>
      <c r="BH718" s="10"/>
      <c r="BI718" s="10"/>
      <c r="BJ718" s="10"/>
      <c r="BK718" s="10"/>
      <c r="BL718" s="10"/>
    </row>
    <row r="719" spans="5:64" s="8" customFormat="1" x14ac:dyDescent="0.2">
      <c r="E719" s="85"/>
      <c r="AR719" s="10"/>
      <c r="AS719" s="10"/>
      <c r="AT719" s="10"/>
      <c r="AU719" s="10"/>
      <c r="AV719" s="10"/>
      <c r="AW719" s="10"/>
      <c r="AX719" s="10"/>
      <c r="AY719" s="10"/>
      <c r="AZ719" s="10"/>
      <c r="BA719" s="10"/>
      <c r="BB719" s="10"/>
      <c r="BC719" s="10"/>
      <c r="BD719" s="10"/>
      <c r="BE719" s="10"/>
      <c r="BF719" s="10"/>
      <c r="BG719" s="10"/>
      <c r="BH719" s="10"/>
      <c r="BI719" s="10"/>
      <c r="BJ719" s="10"/>
      <c r="BK719" s="10"/>
      <c r="BL719" s="10"/>
    </row>
    <row r="720" spans="5:64" s="8" customFormat="1" x14ac:dyDescent="0.2">
      <c r="E720" s="85"/>
      <c r="AR720" s="10"/>
      <c r="AS720" s="10"/>
      <c r="AT720" s="10"/>
      <c r="AU720" s="10"/>
      <c r="AV720" s="10"/>
      <c r="AW720" s="10"/>
      <c r="AX720" s="10"/>
      <c r="AY720" s="10"/>
      <c r="AZ720" s="10"/>
      <c r="BA720" s="10"/>
      <c r="BB720" s="10"/>
      <c r="BC720" s="10"/>
      <c r="BD720" s="10"/>
      <c r="BE720" s="10"/>
      <c r="BF720" s="10"/>
      <c r="BG720" s="10"/>
      <c r="BH720" s="10"/>
      <c r="BI720" s="10"/>
      <c r="BJ720" s="10"/>
      <c r="BK720" s="10"/>
      <c r="BL720" s="10"/>
    </row>
    <row r="721" spans="5:64" s="8" customFormat="1" x14ac:dyDescent="0.2">
      <c r="E721" s="85"/>
      <c r="AR721" s="10"/>
      <c r="AS721" s="10"/>
      <c r="AT721" s="10"/>
      <c r="AU721" s="10"/>
      <c r="AV721" s="10"/>
      <c r="AW721" s="10"/>
      <c r="AX721" s="10"/>
      <c r="AY721" s="10"/>
      <c r="AZ721" s="10"/>
      <c r="BA721" s="10"/>
      <c r="BB721" s="10"/>
      <c r="BC721" s="10"/>
      <c r="BD721" s="10"/>
      <c r="BE721" s="10"/>
      <c r="BF721" s="10"/>
      <c r="BG721" s="10"/>
      <c r="BH721" s="10"/>
      <c r="BI721" s="10"/>
      <c r="BJ721" s="10"/>
      <c r="BK721" s="10"/>
      <c r="BL721" s="10"/>
    </row>
    <row r="722" spans="5:64" s="8" customFormat="1" x14ac:dyDescent="0.2">
      <c r="E722" s="85"/>
      <c r="AR722" s="10"/>
      <c r="AS722" s="10"/>
      <c r="AT722" s="10"/>
      <c r="AU722" s="10"/>
      <c r="AV722" s="10"/>
      <c r="AW722" s="10"/>
      <c r="AX722" s="10"/>
      <c r="AY722" s="10"/>
      <c r="AZ722" s="10"/>
      <c r="BA722" s="10"/>
      <c r="BB722" s="10"/>
      <c r="BC722" s="10"/>
      <c r="BD722" s="10"/>
      <c r="BE722" s="10"/>
      <c r="BF722" s="10"/>
      <c r="BG722" s="10"/>
      <c r="BH722" s="10"/>
      <c r="BI722" s="10"/>
      <c r="BJ722" s="10"/>
      <c r="BK722" s="10"/>
      <c r="BL722" s="10"/>
    </row>
    <row r="723" spans="5:64" s="8" customFormat="1" x14ac:dyDescent="0.2">
      <c r="E723" s="85"/>
      <c r="AR723" s="10"/>
      <c r="AS723" s="10"/>
      <c r="AT723" s="10"/>
      <c r="AU723" s="10"/>
      <c r="AV723" s="10"/>
      <c r="AW723" s="10"/>
      <c r="AX723" s="10"/>
      <c r="AY723" s="10"/>
      <c r="AZ723" s="10"/>
      <c r="BA723" s="10"/>
      <c r="BB723" s="10"/>
      <c r="BC723" s="10"/>
      <c r="BD723" s="10"/>
      <c r="BE723" s="10"/>
      <c r="BF723" s="10"/>
      <c r="BG723" s="10"/>
      <c r="BH723" s="10"/>
      <c r="BI723" s="10"/>
      <c r="BJ723" s="10"/>
      <c r="BK723" s="10"/>
      <c r="BL723" s="10"/>
    </row>
    <row r="724" spans="5:64" s="8" customFormat="1" x14ac:dyDescent="0.2">
      <c r="E724" s="85"/>
      <c r="AR724" s="10"/>
      <c r="AS724" s="10"/>
      <c r="AT724" s="10"/>
      <c r="AU724" s="10"/>
      <c r="AV724" s="10"/>
      <c r="AW724" s="10"/>
      <c r="AX724" s="10"/>
      <c r="AY724" s="10"/>
      <c r="AZ724" s="10"/>
      <c r="BA724" s="10"/>
      <c r="BB724" s="10"/>
      <c r="BC724" s="10"/>
      <c r="BD724" s="10"/>
      <c r="BE724" s="10"/>
      <c r="BF724" s="10"/>
      <c r="BG724" s="10"/>
      <c r="BH724" s="10"/>
      <c r="BI724" s="10"/>
      <c r="BJ724" s="10"/>
      <c r="BK724" s="10"/>
      <c r="BL724" s="10"/>
    </row>
    <row r="725" spans="5:64" s="8" customFormat="1" x14ac:dyDescent="0.2">
      <c r="E725" s="85"/>
      <c r="AR725" s="10"/>
      <c r="AS725" s="10"/>
      <c r="AT725" s="10"/>
      <c r="AU725" s="10"/>
      <c r="AV725" s="10"/>
      <c r="AW725" s="10"/>
      <c r="AX725" s="10"/>
      <c r="AY725" s="10"/>
      <c r="AZ725" s="10"/>
      <c r="BA725" s="10"/>
      <c r="BB725" s="10"/>
      <c r="BC725" s="10"/>
      <c r="BD725" s="10"/>
      <c r="BE725" s="10"/>
      <c r="BF725" s="10"/>
      <c r="BG725" s="10"/>
      <c r="BH725" s="10"/>
      <c r="BI725" s="10"/>
      <c r="BJ725" s="10"/>
      <c r="BK725" s="10"/>
      <c r="BL725" s="10"/>
    </row>
    <row r="726" spans="5:64" s="8" customFormat="1" x14ac:dyDescent="0.2">
      <c r="E726" s="85"/>
      <c r="AR726" s="10"/>
      <c r="AS726" s="10"/>
      <c r="AT726" s="10"/>
      <c r="AU726" s="10"/>
      <c r="AV726" s="10"/>
      <c r="AW726" s="10"/>
      <c r="AX726" s="10"/>
      <c r="AY726" s="10"/>
      <c r="AZ726" s="10"/>
      <c r="BA726" s="10"/>
      <c r="BB726" s="10"/>
      <c r="BC726" s="10"/>
      <c r="BD726" s="10"/>
      <c r="BE726" s="10"/>
      <c r="BF726" s="10"/>
      <c r="BG726" s="10"/>
      <c r="BH726" s="10"/>
      <c r="BI726" s="10"/>
      <c r="BJ726" s="10"/>
      <c r="BK726" s="10"/>
      <c r="BL726" s="10"/>
    </row>
    <row r="727" spans="5:64" s="8" customFormat="1" x14ac:dyDescent="0.2">
      <c r="E727" s="85"/>
      <c r="AR727" s="10"/>
      <c r="AS727" s="10"/>
      <c r="AT727" s="10"/>
      <c r="AU727" s="10"/>
      <c r="AV727" s="10"/>
      <c r="AW727" s="10"/>
      <c r="AX727" s="10"/>
      <c r="AY727" s="10"/>
      <c r="AZ727" s="10"/>
      <c r="BA727" s="10"/>
      <c r="BB727" s="10"/>
      <c r="BC727" s="10"/>
      <c r="BD727" s="10"/>
      <c r="BE727" s="10"/>
      <c r="BF727" s="10"/>
      <c r="BG727" s="10"/>
      <c r="BH727" s="10"/>
      <c r="BI727" s="10"/>
      <c r="BJ727" s="10"/>
      <c r="BK727" s="10"/>
      <c r="BL727" s="10"/>
    </row>
    <row r="728" spans="5:64" s="8" customFormat="1" x14ac:dyDescent="0.2">
      <c r="E728" s="85"/>
      <c r="AR728" s="10"/>
      <c r="AS728" s="10"/>
      <c r="AT728" s="10"/>
      <c r="AU728" s="10"/>
      <c r="AV728" s="10"/>
      <c r="AW728" s="10"/>
      <c r="AX728" s="10"/>
      <c r="AY728" s="10"/>
      <c r="AZ728" s="10"/>
      <c r="BA728" s="10"/>
      <c r="BB728" s="10"/>
      <c r="BC728" s="10"/>
      <c r="BD728" s="10"/>
      <c r="BE728" s="10"/>
      <c r="BF728" s="10"/>
      <c r="BG728" s="10"/>
      <c r="BH728" s="10"/>
      <c r="BI728" s="10"/>
      <c r="BJ728" s="10"/>
      <c r="BK728" s="10"/>
      <c r="BL728" s="10"/>
    </row>
    <row r="729" spans="5:64" s="8" customFormat="1" x14ac:dyDescent="0.2">
      <c r="E729" s="85"/>
      <c r="AR729" s="10"/>
      <c r="AS729" s="10"/>
      <c r="AT729" s="10"/>
      <c r="AU729" s="10"/>
      <c r="AV729" s="10"/>
      <c r="AW729" s="10"/>
      <c r="AX729" s="10"/>
      <c r="AY729" s="10"/>
      <c r="AZ729" s="10"/>
      <c r="BA729" s="10"/>
      <c r="BB729" s="10"/>
      <c r="BC729" s="10"/>
      <c r="BD729" s="10"/>
      <c r="BE729" s="10"/>
      <c r="BF729" s="10"/>
      <c r="BG729" s="10"/>
      <c r="BH729" s="10"/>
      <c r="BI729" s="10"/>
      <c r="BJ729" s="10"/>
      <c r="BK729" s="10"/>
      <c r="BL729" s="10"/>
    </row>
    <row r="730" spans="5:64" s="8" customFormat="1" x14ac:dyDescent="0.2">
      <c r="E730" s="85"/>
      <c r="AR730" s="10"/>
      <c r="AS730" s="10"/>
      <c r="AT730" s="10"/>
      <c r="AU730" s="10"/>
      <c r="AV730" s="10"/>
      <c r="AW730" s="10"/>
      <c r="AX730" s="10"/>
      <c r="AY730" s="10"/>
      <c r="AZ730" s="10"/>
      <c r="BA730" s="10"/>
      <c r="BB730" s="10"/>
      <c r="BC730" s="10"/>
      <c r="BD730" s="10"/>
      <c r="BE730" s="10"/>
      <c r="BF730" s="10"/>
      <c r="BG730" s="10"/>
      <c r="BH730" s="10"/>
      <c r="BI730" s="10"/>
      <c r="BJ730" s="10"/>
      <c r="BK730" s="10"/>
      <c r="BL730" s="10"/>
    </row>
    <row r="731" spans="5:64" s="8" customFormat="1" x14ac:dyDescent="0.2">
      <c r="E731" s="85"/>
      <c r="AR731" s="10"/>
      <c r="AS731" s="10"/>
      <c r="AT731" s="10"/>
      <c r="AU731" s="10"/>
      <c r="AV731" s="10"/>
      <c r="AW731" s="10"/>
      <c r="AX731" s="10"/>
      <c r="AY731" s="10"/>
      <c r="AZ731" s="10"/>
      <c r="BA731" s="10"/>
      <c r="BB731" s="10"/>
      <c r="BC731" s="10"/>
      <c r="BD731" s="10"/>
      <c r="BE731" s="10"/>
      <c r="BF731" s="10"/>
      <c r="BG731" s="10"/>
      <c r="BH731" s="10"/>
      <c r="BI731" s="10"/>
      <c r="BJ731" s="10"/>
      <c r="BK731" s="10"/>
      <c r="BL731" s="10"/>
    </row>
    <row r="732" spans="5:64" s="8" customFormat="1" x14ac:dyDescent="0.2">
      <c r="E732" s="85"/>
      <c r="AR732" s="10"/>
      <c r="AS732" s="10"/>
      <c r="AT732" s="10"/>
      <c r="AU732" s="10"/>
      <c r="AV732" s="10"/>
      <c r="AW732" s="10"/>
      <c r="AX732" s="10"/>
      <c r="AY732" s="10"/>
      <c r="AZ732" s="10"/>
      <c r="BA732" s="10"/>
      <c r="BB732" s="10"/>
      <c r="BC732" s="10"/>
      <c r="BD732" s="10"/>
      <c r="BE732" s="10"/>
      <c r="BF732" s="10"/>
      <c r="BG732" s="10"/>
      <c r="BH732" s="10"/>
      <c r="BI732" s="10"/>
      <c r="BJ732" s="10"/>
      <c r="BK732" s="10"/>
      <c r="BL732" s="10"/>
    </row>
    <row r="733" spans="5:64" s="8" customFormat="1" x14ac:dyDescent="0.2">
      <c r="E733" s="85"/>
      <c r="AR733" s="10"/>
      <c r="AS733" s="10"/>
      <c r="AT733" s="10"/>
      <c r="AU733" s="10"/>
      <c r="AV733" s="10"/>
      <c r="AW733" s="10"/>
      <c r="AX733" s="10"/>
      <c r="AY733" s="10"/>
      <c r="AZ733" s="10"/>
      <c r="BA733" s="10"/>
      <c r="BB733" s="10"/>
      <c r="BC733" s="10"/>
      <c r="BD733" s="10"/>
      <c r="BE733" s="10"/>
      <c r="BF733" s="10"/>
      <c r="BG733" s="10"/>
      <c r="BH733" s="10"/>
      <c r="BI733" s="10"/>
      <c r="BJ733" s="10"/>
      <c r="BK733" s="10"/>
      <c r="BL733" s="10"/>
    </row>
    <row r="734" spans="5:64" s="8" customFormat="1" x14ac:dyDescent="0.2">
      <c r="E734" s="85"/>
      <c r="AR734" s="10"/>
      <c r="AS734" s="10"/>
      <c r="AT734" s="10"/>
      <c r="AU734" s="10"/>
      <c r="AV734" s="10"/>
      <c r="AW734" s="10"/>
      <c r="AX734" s="10"/>
      <c r="AY734" s="10"/>
      <c r="AZ734" s="10"/>
      <c r="BA734" s="10"/>
      <c r="BB734" s="10"/>
      <c r="BC734" s="10"/>
      <c r="BD734" s="10"/>
      <c r="BE734" s="10"/>
      <c r="BF734" s="10"/>
      <c r="BG734" s="10"/>
      <c r="BH734" s="10"/>
      <c r="BI734" s="10"/>
      <c r="BJ734" s="10"/>
      <c r="BK734" s="10"/>
      <c r="BL734" s="10"/>
    </row>
    <row r="735" spans="5:64" s="8" customFormat="1" x14ac:dyDescent="0.2">
      <c r="E735" s="85"/>
      <c r="AR735" s="10"/>
      <c r="AS735" s="10"/>
      <c r="AT735" s="10"/>
      <c r="AU735" s="10"/>
      <c r="AV735" s="10"/>
      <c r="AW735" s="10"/>
      <c r="AX735" s="10"/>
      <c r="AY735" s="10"/>
      <c r="AZ735" s="10"/>
      <c r="BA735" s="10"/>
      <c r="BB735" s="10"/>
      <c r="BC735" s="10"/>
      <c r="BD735" s="10"/>
      <c r="BE735" s="10"/>
      <c r="BF735" s="10"/>
      <c r="BG735" s="10"/>
      <c r="BH735" s="10"/>
      <c r="BI735" s="10"/>
      <c r="BJ735" s="10"/>
      <c r="BK735" s="10"/>
      <c r="BL735" s="10"/>
    </row>
    <row r="736" spans="5:64" s="8" customFormat="1" x14ac:dyDescent="0.2">
      <c r="E736" s="85"/>
      <c r="AR736" s="10"/>
      <c r="AS736" s="10"/>
      <c r="AT736" s="10"/>
      <c r="AU736" s="10"/>
      <c r="AV736" s="10"/>
      <c r="AW736" s="10"/>
      <c r="AX736" s="10"/>
      <c r="AY736" s="10"/>
      <c r="AZ736" s="10"/>
      <c r="BA736" s="10"/>
      <c r="BB736" s="10"/>
      <c r="BC736" s="10"/>
      <c r="BD736" s="10"/>
      <c r="BE736" s="10"/>
      <c r="BF736" s="10"/>
      <c r="BG736" s="10"/>
      <c r="BH736" s="10"/>
      <c r="BI736" s="10"/>
      <c r="BJ736" s="10"/>
      <c r="BK736" s="10"/>
      <c r="BL736" s="10"/>
    </row>
    <row r="737" spans="5:64" s="8" customFormat="1" x14ac:dyDescent="0.2">
      <c r="E737" s="85"/>
      <c r="AR737" s="10"/>
      <c r="AS737" s="10"/>
      <c r="AT737" s="10"/>
      <c r="AU737" s="10"/>
      <c r="AV737" s="10"/>
      <c r="AW737" s="10"/>
      <c r="AX737" s="10"/>
      <c r="AY737" s="10"/>
      <c r="AZ737" s="10"/>
      <c r="BA737" s="10"/>
      <c r="BB737" s="10"/>
      <c r="BC737" s="10"/>
      <c r="BD737" s="10"/>
      <c r="BE737" s="10"/>
      <c r="BF737" s="10"/>
      <c r="BG737" s="10"/>
      <c r="BH737" s="10"/>
      <c r="BI737" s="10"/>
      <c r="BJ737" s="10"/>
      <c r="BK737" s="10"/>
      <c r="BL737" s="10"/>
    </row>
    <row r="738" spans="5:64" s="8" customFormat="1" x14ac:dyDescent="0.2">
      <c r="E738" s="85"/>
      <c r="AR738" s="10"/>
      <c r="AS738" s="10"/>
      <c r="AT738" s="10"/>
      <c r="AU738" s="10"/>
      <c r="AV738" s="10"/>
      <c r="AW738" s="10"/>
      <c r="AX738" s="10"/>
      <c r="AY738" s="10"/>
      <c r="AZ738" s="10"/>
      <c r="BA738" s="10"/>
      <c r="BB738" s="10"/>
      <c r="BC738" s="10"/>
      <c r="BD738" s="10"/>
      <c r="BE738" s="10"/>
      <c r="BF738" s="10"/>
      <c r="BG738" s="10"/>
      <c r="BH738" s="10"/>
      <c r="BI738" s="10"/>
      <c r="BJ738" s="10"/>
      <c r="BK738" s="10"/>
      <c r="BL738" s="10"/>
    </row>
    <row r="739" spans="5:64" s="8" customFormat="1" x14ac:dyDescent="0.2">
      <c r="E739" s="85"/>
      <c r="AR739" s="10"/>
      <c r="AS739" s="10"/>
      <c r="AT739" s="10"/>
      <c r="AU739" s="10"/>
      <c r="AV739" s="10"/>
      <c r="AW739" s="10"/>
      <c r="AX739" s="10"/>
      <c r="AY739" s="10"/>
      <c r="AZ739" s="10"/>
      <c r="BA739" s="10"/>
      <c r="BB739" s="10"/>
      <c r="BC739" s="10"/>
      <c r="BD739" s="10"/>
      <c r="BE739" s="10"/>
      <c r="BF739" s="10"/>
      <c r="BG739" s="10"/>
      <c r="BH739" s="10"/>
      <c r="BI739" s="10"/>
      <c r="BJ739" s="10"/>
      <c r="BK739" s="10"/>
      <c r="BL739" s="10"/>
    </row>
    <row r="740" spans="5:64" s="8" customFormat="1" x14ac:dyDescent="0.2">
      <c r="E740" s="85"/>
      <c r="AR740" s="10"/>
      <c r="AS740" s="10"/>
      <c r="AT740" s="10"/>
      <c r="AU740" s="10"/>
      <c r="AV740" s="10"/>
      <c r="AW740" s="10"/>
      <c r="AX740" s="10"/>
      <c r="AY740" s="10"/>
      <c r="AZ740" s="10"/>
      <c r="BA740" s="10"/>
      <c r="BB740" s="10"/>
      <c r="BC740" s="10"/>
      <c r="BD740" s="10"/>
      <c r="BE740" s="10"/>
      <c r="BF740" s="10"/>
      <c r="BG740" s="10"/>
      <c r="BH740" s="10"/>
      <c r="BI740" s="10"/>
      <c r="BJ740" s="10"/>
      <c r="BK740" s="10"/>
      <c r="BL740" s="10"/>
    </row>
    <row r="741" spans="5:64" s="8" customFormat="1" x14ac:dyDescent="0.2">
      <c r="E741" s="85"/>
      <c r="AR741" s="10"/>
      <c r="AS741" s="10"/>
      <c r="AT741" s="10"/>
      <c r="AU741" s="10"/>
      <c r="AV741" s="10"/>
      <c r="AW741" s="10"/>
      <c r="AX741" s="10"/>
      <c r="AY741" s="10"/>
      <c r="AZ741" s="10"/>
      <c r="BA741" s="10"/>
      <c r="BB741" s="10"/>
      <c r="BC741" s="10"/>
      <c r="BD741" s="10"/>
      <c r="BE741" s="10"/>
      <c r="BF741" s="10"/>
      <c r="BG741" s="10"/>
      <c r="BH741" s="10"/>
      <c r="BI741" s="10"/>
      <c r="BJ741" s="10"/>
      <c r="BK741" s="10"/>
      <c r="BL741" s="10"/>
    </row>
    <row r="742" spans="5:64" s="8" customFormat="1" x14ac:dyDescent="0.2">
      <c r="E742" s="85"/>
      <c r="AR742" s="10"/>
      <c r="AS742" s="10"/>
      <c r="AT742" s="10"/>
      <c r="AU742" s="10"/>
      <c r="AV742" s="10"/>
      <c r="AW742" s="10"/>
      <c r="AX742" s="10"/>
      <c r="AY742" s="10"/>
      <c r="AZ742" s="10"/>
      <c r="BA742" s="10"/>
      <c r="BB742" s="10"/>
      <c r="BC742" s="10"/>
      <c r="BD742" s="10"/>
      <c r="BE742" s="10"/>
      <c r="BF742" s="10"/>
      <c r="BG742" s="10"/>
      <c r="BH742" s="10"/>
      <c r="BI742" s="10"/>
      <c r="BJ742" s="10"/>
      <c r="BK742" s="10"/>
      <c r="BL742" s="10"/>
    </row>
    <row r="743" spans="5:64" s="8" customFormat="1" x14ac:dyDescent="0.2">
      <c r="E743" s="85"/>
      <c r="AR743" s="10"/>
      <c r="AS743" s="10"/>
      <c r="AT743" s="10"/>
      <c r="AU743" s="10"/>
      <c r="AV743" s="10"/>
      <c r="AW743" s="10"/>
      <c r="AX743" s="10"/>
      <c r="AY743" s="10"/>
      <c r="AZ743" s="10"/>
      <c r="BA743" s="10"/>
      <c r="BB743" s="10"/>
      <c r="BC743" s="10"/>
      <c r="BD743" s="10"/>
      <c r="BE743" s="10"/>
      <c r="BF743" s="10"/>
      <c r="BG743" s="10"/>
      <c r="BH743" s="10"/>
      <c r="BI743" s="10"/>
      <c r="BJ743" s="10"/>
      <c r="BK743" s="10"/>
      <c r="BL743" s="10"/>
    </row>
    <row r="744" spans="5:64" s="8" customFormat="1" x14ac:dyDescent="0.2">
      <c r="E744" s="85"/>
      <c r="AR744" s="10"/>
      <c r="AS744" s="10"/>
      <c r="AT744" s="10"/>
      <c r="AU744" s="10"/>
      <c r="AV744" s="10"/>
      <c r="AW744" s="10"/>
      <c r="AX744" s="10"/>
      <c r="AY744" s="10"/>
      <c r="AZ744" s="10"/>
      <c r="BA744" s="10"/>
      <c r="BB744" s="10"/>
      <c r="BC744" s="10"/>
      <c r="BD744" s="10"/>
      <c r="BE744" s="10"/>
      <c r="BF744" s="10"/>
      <c r="BG744" s="10"/>
      <c r="BH744" s="10"/>
      <c r="BI744" s="10"/>
      <c r="BJ744" s="10"/>
      <c r="BK744" s="10"/>
      <c r="BL744" s="10"/>
    </row>
    <row r="745" spans="5:64" s="8" customFormat="1" x14ac:dyDescent="0.2">
      <c r="E745" s="85"/>
      <c r="AR745" s="10"/>
      <c r="AS745" s="10"/>
      <c r="AT745" s="10"/>
      <c r="AU745" s="10"/>
      <c r="AV745" s="10"/>
      <c r="AW745" s="10"/>
      <c r="AX745" s="10"/>
      <c r="AY745" s="10"/>
      <c r="AZ745" s="10"/>
      <c r="BA745" s="10"/>
      <c r="BB745" s="10"/>
      <c r="BC745" s="10"/>
      <c r="BD745" s="10"/>
      <c r="BE745" s="10"/>
      <c r="BF745" s="10"/>
      <c r="BG745" s="10"/>
      <c r="BH745" s="10"/>
      <c r="BI745" s="10"/>
      <c r="BJ745" s="10"/>
      <c r="BK745" s="10"/>
      <c r="BL745" s="10"/>
    </row>
    <row r="746" spans="5:64" s="8" customFormat="1" x14ac:dyDescent="0.2">
      <c r="E746" s="85"/>
      <c r="AR746" s="10"/>
      <c r="AS746" s="10"/>
      <c r="AT746" s="10"/>
      <c r="AU746" s="10"/>
      <c r="AV746" s="10"/>
      <c r="AW746" s="10"/>
      <c r="AX746" s="10"/>
      <c r="AY746" s="10"/>
      <c r="AZ746" s="10"/>
      <c r="BA746" s="10"/>
      <c r="BB746" s="10"/>
      <c r="BC746" s="10"/>
      <c r="BD746" s="10"/>
      <c r="BE746" s="10"/>
      <c r="BF746" s="10"/>
      <c r="BG746" s="10"/>
      <c r="BH746" s="10"/>
      <c r="BI746" s="10"/>
      <c r="BJ746" s="10"/>
      <c r="BK746" s="10"/>
      <c r="BL746" s="10"/>
    </row>
    <row r="747" spans="5:64" s="8" customFormat="1" x14ac:dyDescent="0.2">
      <c r="E747" s="85"/>
      <c r="AR747" s="10"/>
      <c r="AS747" s="10"/>
      <c r="AT747" s="10"/>
      <c r="AU747" s="10"/>
      <c r="AV747" s="10"/>
      <c r="AW747" s="10"/>
      <c r="AX747" s="10"/>
      <c r="AY747" s="10"/>
      <c r="AZ747" s="10"/>
      <c r="BA747" s="10"/>
      <c r="BB747" s="10"/>
      <c r="BC747" s="10"/>
      <c r="BD747" s="10"/>
      <c r="BE747" s="10"/>
      <c r="BF747" s="10"/>
      <c r="BG747" s="10"/>
      <c r="BH747" s="10"/>
      <c r="BI747" s="10"/>
      <c r="BJ747" s="10"/>
      <c r="BK747" s="10"/>
      <c r="BL747" s="10"/>
    </row>
    <row r="748" spans="5:64" s="8" customFormat="1" x14ac:dyDescent="0.2">
      <c r="E748" s="85"/>
      <c r="AR748" s="10"/>
      <c r="AS748" s="10"/>
      <c r="AT748" s="10"/>
      <c r="AU748" s="10"/>
      <c r="AV748" s="10"/>
      <c r="AW748" s="10"/>
      <c r="AX748" s="10"/>
      <c r="AY748" s="10"/>
      <c r="AZ748" s="10"/>
      <c r="BA748" s="10"/>
      <c r="BB748" s="10"/>
      <c r="BC748" s="10"/>
      <c r="BD748" s="10"/>
      <c r="BE748" s="10"/>
      <c r="BF748" s="10"/>
      <c r="BG748" s="10"/>
      <c r="BH748" s="10"/>
      <c r="BI748" s="10"/>
      <c r="BJ748" s="10"/>
      <c r="BK748" s="10"/>
      <c r="BL748" s="10"/>
    </row>
    <row r="749" spans="5:64" s="8" customFormat="1" x14ac:dyDescent="0.2">
      <c r="E749" s="85"/>
      <c r="AR749" s="10"/>
      <c r="AS749" s="10"/>
      <c r="AT749" s="10"/>
      <c r="AU749" s="10"/>
      <c r="AV749" s="10"/>
      <c r="AW749" s="10"/>
      <c r="AX749" s="10"/>
      <c r="AY749" s="10"/>
      <c r="AZ749" s="10"/>
      <c r="BA749" s="10"/>
      <c r="BB749" s="10"/>
      <c r="BC749" s="10"/>
      <c r="BD749" s="10"/>
      <c r="BE749" s="10"/>
      <c r="BF749" s="10"/>
      <c r="BG749" s="10"/>
      <c r="BH749" s="10"/>
      <c r="BI749" s="10"/>
      <c r="BJ749" s="10"/>
      <c r="BK749" s="10"/>
      <c r="BL749" s="10"/>
    </row>
    <row r="750" spans="5:64" s="8" customFormat="1" x14ac:dyDescent="0.2">
      <c r="E750" s="85"/>
      <c r="AR750" s="10"/>
      <c r="AS750" s="10"/>
      <c r="AT750" s="10"/>
      <c r="AU750" s="10"/>
      <c r="AV750" s="10"/>
      <c r="AW750" s="10"/>
      <c r="AX750" s="10"/>
      <c r="AY750" s="10"/>
      <c r="AZ750" s="10"/>
      <c r="BA750" s="10"/>
      <c r="BB750" s="10"/>
      <c r="BC750" s="10"/>
      <c r="BD750" s="10"/>
      <c r="BE750" s="10"/>
      <c r="BF750" s="10"/>
      <c r="BG750" s="10"/>
      <c r="BH750" s="10"/>
      <c r="BI750" s="10"/>
      <c r="BJ750" s="10"/>
      <c r="BK750" s="10"/>
      <c r="BL750" s="10"/>
    </row>
    <row r="751" spans="5:64" s="8" customFormat="1" x14ac:dyDescent="0.2">
      <c r="E751" s="85"/>
      <c r="AR751" s="10"/>
      <c r="AS751" s="10"/>
      <c r="AT751" s="10"/>
      <c r="AU751" s="10"/>
      <c r="AV751" s="10"/>
      <c r="AW751" s="10"/>
      <c r="AX751" s="10"/>
      <c r="AY751" s="10"/>
      <c r="AZ751" s="10"/>
      <c r="BA751" s="10"/>
      <c r="BB751" s="10"/>
      <c r="BC751" s="10"/>
      <c r="BD751" s="10"/>
      <c r="BE751" s="10"/>
      <c r="BF751" s="10"/>
      <c r="BG751" s="10"/>
      <c r="BH751" s="10"/>
      <c r="BI751" s="10"/>
      <c r="BJ751" s="10"/>
      <c r="BK751" s="10"/>
      <c r="BL751" s="10"/>
    </row>
    <row r="752" spans="5:64" s="8" customFormat="1" x14ac:dyDescent="0.2">
      <c r="E752" s="85"/>
      <c r="AR752" s="10"/>
      <c r="AS752" s="10"/>
      <c r="AT752" s="10"/>
      <c r="AU752" s="10"/>
      <c r="AV752" s="10"/>
      <c r="AW752" s="10"/>
      <c r="AX752" s="10"/>
      <c r="AY752" s="10"/>
      <c r="AZ752" s="10"/>
      <c r="BA752" s="10"/>
      <c r="BB752" s="10"/>
      <c r="BC752" s="10"/>
      <c r="BD752" s="10"/>
      <c r="BE752" s="10"/>
      <c r="BF752" s="10"/>
      <c r="BG752" s="10"/>
      <c r="BH752" s="10"/>
      <c r="BI752" s="10"/>
      <c r="BJ752" s="10"/>
      <c r="BK752" s="10"/>
      <c r="BL752" s="10"/>
    </row>
    <row r="753" spans="5:64" s="8" customFormat="1" x14ac:dyDescent="0.2">
      <c r="E753" s="85"/>
      <c r="AR753" s="10"/>
      <c r="AS753" s="10"/>
      <c r="AT753" s="10"/>
      <c r="AU753" s="10"/>
      <c r="AV753" s="10"/>
      <c r="AW753" s="10"/>
      <c r="AX753" s="10"/>
      <c r="AY753" s="10"/>
      <c r="AZ753" s="10"/>
      <c r="BA753" s="10"/>
      <c r="BB753" s="10"/>
      <c r="BC753" s="10"/>
      <c r="BD753" s="10"/>
      <c r="BE753" s="10"/>
      <c r="BF753" s="10"/>
      <c r="BG753" s="10"/>
      <c r="BH753" s="10"/>
      <c r="BI753" s="10"/>
      <c r="BJ753" s="10"/>
      <c r="BK753" s="10"/>
      <c r="BL753" s="10"/>
    </row>
    <row r="754" spans="5:64" s="8" customFormat="1" x14ac:dyDescent="0.2">
      <c r="E754" s="85"/>
      <c r="AR754" s="10"/>
      <c r="AS754" s="10"/>
      <c r="AT754" s="10"/>
      <c r="AU754" s="10"/>
      <c r="AV754" s="10"/>
      <c r="AW754" s="10"/>
      <c r="AX754" s="10"/>
      <c r="AY754" s="10"/>
      <c r="AZ754" s="10"/>
      <c r="BA754" s="10"/>
      <c r="BB754" s="10"/>
      <c r="BC754" s="10"/>
      <c r="BD754" s="10"/>
      <c r="BE754" s="10"/>
      <c r="BF754" s="10"/>
      <c r="BG754" s="10"/>
      <c r="BH754" s="10"/>
      <c r="BI754" s="10"/>
      <c r="BJ754" s="10"/>
      <c r="BK754" s="10"/>
      <c r="BL754" s="10"/>
    </row>
    <row r="755" spans="5:64" s="8" customFormat="1" x14ac:dyDescent="0.2">
      <c r="E755" s="85"/>
      <c r="AR755" s="10"/>
      <c r="AS755" s="10"/>
      <c r="AT755" s="10"/>
      <c r="AU755" s="10"/>
      <c r="AV755" s="10"/>
      <c r="AW755" s="10"/>
      <c r="AX755" s="10"/>
      <c r="AY755" s="10"/>
      <c r="AZ755" s="10"/>
      <c r="BA755" s="10"/>
      <c r="BB755" s="10"/>
      <c r="BC755" s="10"/>
      <c r="BD755" s="10"/>
      <c r="BE755" s="10"/>
      <c r="BF755" s="10"/>
      <c r="BG755" s="10"/>
      <c r="BH755" s="10"/>
      <c r="BI755" s="10"/>
      <c r="BJ755" s="10"/>
      <c r="BK755" s="10"/>
      <c r="BL755" s="10"/>
    </row>
    <row r="756" spans="5:64" s="8" customFormat="1" x14ac:dyDescent="0.2">
      <c r="E756" s="85"/>
      <c r="AR756" s="10"/>
      <c r="AS756" s="10"/>
      <c r="AT756" s="10"/>
      <c r="AU756" s="10"/>
      <c r="AV756" s="10"/>
      <c r="AW756" s="10"/>
      <c r="AX756" s="10"/>
      <c r="AY756" s="10"/>
      <c r="AZ756" s="10"/>
      <c r="BA756" s="10"/>
      <c r="BB756" s="10"/>
      <c r="BC756" s="10"/>
      <c r="BD756" s="10"/>
      <c r="BE756" s="10"/>
      <c r="BF756" s="10"/>
      <c r="BG756" s="10"/>
      <c r="BH756" s="10"/>
      <c r="BI756" s="10"/>
      <c r="BJ756" s="10"/>
      <c r="BK756" s="10"/>
      <c r="BL756" s="10"/>
    </row>
    <row r="757" spans="5:64" s="8" customFormat="1" x14ac:dyDescent="0.2">
      <c r="E757" s="85"/>
      <c r="AR757" s="10"/>
      <c r="AS757" s="10"/>
      <c r="AT757" s="10"/>
      <c r="AU757" s="10"/>
      <c r="AV757" s="10"/>
      <c r="AW757" s="10"/>
      <c r="AX757" s="10"/>
      <c r="AY757" s="10"/>
      <c r="AZ757" s="10"/>
      <c r="BA757" s="10"/>
      <c r="BB757" s="10"/>
      <c r="BC757" s="10"/>
      <c r="BD757" s="10"/>
      <c r="BE757" s="10"/>
      <c r="BF757" s="10"/>
      <c r="BG757" s="10"/>
      <c r="BH757" s="10"/>
      <c r="BI757" s="10"/>
      <c r="BJ757" s="10"/>
      <c r="BK757" s="10"/>
      <c r="BL757" s="10"/>
    </row>
    <row r="758" spans="5:64" s="8" customFormat="1" x14ac:dyDescent="0.2">
      <c r="E758" s="85"/>
      <c r="AR758" s="10"/>
      <c r="AS758" s="10"/>
      <c r="AT758" s="10"/>
      <c r="AU758" s="10"/>
      <c r="AV758" s="10"/>
      <c r="AW758" s="10"/>
      <c r="AX758" s="10"/>
      <c r="AY758" s="10"/>
      <c r="AZ758" s="10"/>
      <c r="BA758" s="10"/>
      <c r="BB758" s="10"/>
      <c r="BC758" s="10"/>
      <c r="BD758" s="10"/>
      <c r="BE758" s="10"/>
      <c r="BF758" s="10"/>
      <c r="BG758" s="10"/>
      <c r="BH758" s="10"/>
      <c r="BI758" s="10"/>
      <c r="BJ758" s="10"/>
      <c r="BK758" s="10"/>
      <c r="BL758" s="10"/>
    </row>
    <row r="759" spans="5:64" s="8" customFormat="1" x14ac:dyDescent="0.2">
      <c r="E759" s="85"/>
      <c r="AR759" s="10"/>
      <c r="AS759" s="10"/>
      <c r="AT759" s="10"/>
      <c r="AU759" s="10"/>
      <c r="AV759" s="10"/>
      <c r="AW759" s="10"/>
      <c r="AX759" s="10"/>
      <c r="AY759" s="10"/>
      <c r="AZ759" s="10"/>
      <c r="BA759" s="10"/>
      <c r="BB759" s="10"/>
      <c r="BC759" s="10"/>
      <c r="BD759" s="10"/>
      <c r="BE759" s="10"/>
      <c r="BF759" s="10"/>
      <c r="BG759" s="10"/>
      <c r="BH759" s="10"/>
      <c r="BI759" s="10"/>
      <c r="BJ759" s="10"/>
      <c r="BK759" s="10"/>
      <c r="BL759" s="10"/>
    </row>
    <row r="760" spans="5:64" s="8" customFormat="1" x14ac:dyDescent="0.2">
      <c r="E760" s="85"/>
      <c r="AR760" s="10"/>
      <c r="AS760" s="10"/>
      <c r="AT760" s="10"/>
      <c r="AU760" s="10"/>
      <c r="AV760" s="10"/>
      <c r="AW760" s="10"/>
      <c r="AX760" s="10"/>
      <c r="AY760" s="10"/>
      <c r="AZ760" s="10"/>
      <c r="BA760" s="10"/>
      <c r="BB760" s="10"/>
      <c r="BC760" s="10"/>
      <c r="BD760" s="10"/>
      <c r="BE760" s="10"/>
      <c r="BF760" s="10"/>
      <c r="BG760" s="10"/>
      <c r="BH760" s="10"/>
      <c r="BI760" s="10"/>
      <c r="BJ760" s="10"/>
      <c r="BK760" s="10"/>
      <c r="BL760" s="10"/>
    </row>
    <row r="761" spans="5:64" s="8" customFormat="1" x14ac:dyDescent="0.2">
      <c r="E761" s="85"/>
      <c r="AR761" s="10"/>
      <c r="AS761" s="10"/>
      <c r="AT761" s="10"/>
      <c r="AU761" s="10"/>
      <c r="AV761" s="10"/>
      <c r="AW761" s="10"/>
      <c r="AX761" s="10"/>
      <c r="AY761" s="10"/>
      <c r="AZ761" s="10"/>
      <c r="BA761" s="10"/>
      <c r="BB761" s="10"/>
      <c r="BC761" s="10"/>
      <c r="BD761" s="10"/>
      <c r="BE761" s="10"/>
      <c r="BF761" s="10"/>
      <c r="BG761" s="10"/>
      <c r="BH761" s="10"/>
      <c r="BI761" s="10"/>
      <c r="BJ761" s="10"/>
      <c r="BK761" s="10"/>
      <c r="BL761" s="10"/>
    </row>
    <row r="762" spans="5:64" s="8" customFormat="1" x14ac:dyDescent="0.2">
      <c r="E762" s="85"/>
      <c r="AR762" s="10"/>
      <c r="AS762" s="10"/>
      <c r="AT762" s="10"/>
      <c r="AU762" s="10"/>
      <c r="AV762" s="10"/>
      <c r="AW762" s="10"/>
      <c r="AX762" s="10"/>
      <c r="AY762" s="10"/>
      <c r="AZ762" s="10"/>
      <c r="BA762" s="10"/>
      <c r="BB762" s="10"/>
      <c r="BC762" s="10"/>
      <c r="BD762" s="10"/>
      <c r="BE762" s="10"/>
      <c r="BF762" s="10"/>
      <c r="BG762" s="10"/>
      <c r="BH762" s="10"/>
      <c r="BI762" s="10"/>
      <c r="BJ762" s="10"/>
      <c r="BK762" s="10"/>
      <c r="BL762" s="10"/>
    </row>
    <row r="763" spans="5:64" s="8" customFormat="1" x14ac:dyDescent="0.2">
      <c r="E763" s="85"/>
      <c r="AR763" s="10"/>
      <c r="AS763" s="10"/>
      <c r="AT763" s="10"/>
      <c r="AU763" s="10"/>
      <c r="AV763" s="10"/>
      <c r="AW763" s="10"/>
      <c r="AX763" s="10"/>
      <c r="AY763" s="10"/>
      <c r="AZ763" s="10"/>
      <c r="BA763" s="10"/>
      <c r="BB763" s="10"/>
      <c r="BC763" s="10"/>
      <c r="BD763" s="10"/>
      <c r="BE763" s="10"/>
      <c r="BF763" s="10"/>
      <c r="BG763" s="10"/>
      <c r="BH763" s="10"/>
      <c r="BI763" s="10"/>
      <c r="BJ763" s="10"/>
      <c r="BK763" s="10"/>
      <c r="BL763" s="10"/>
    </row>
    <row r="764" spans="5:64" s="8" customFormat="1" x14ac:dyDescent="0.2">
      <c r="E764" s="85"/>
      <c r="AR764" s="10"/>
      <c r="AS764" s="10"/>
      <c r="AT764" s="10"/>
      <c r="AU764" s="10"/>
      <c r="AV764" s="10"/>
      <c r="AW764" s="10"/>
      <c r="AX764" s="10"/>
      <c r="AY764" s="10"/>
      <c r="AZ764" s="10"/>
      <c r="BA764" s="10"/>
      <c r="BB764" s="10"/>
      <c r="BC764" s="10"/>
      <c r="BD764" s="10"/>
      <c r="BE764" s="10"/>
      <c r="BF764" s="10"/>
      <c r="BG764" s="10"/>
      <c r="BH764" s="10"/>
      <c r="BI764" s="10"/>
      <c r="BJ764" s="10"/>
      <c r="BK764" s="10"/>
      <c r="BL764" s="10"/>
    </row>
    <row r="765" spans="5:64" s="8" customFormat="1" x14ac:dyDescent="0.2">
      <c r="E765" s="85"/>
      <c r="AR765" s="10"/>
      <c r="AS765" s="10"/>
      <c r="AT765" s="10"/>
      <c r="AU765" s="10"/>
      <c r="AV765" s="10"/>
      <c r="AW765" s="10"/>
      <c r="AX765" s="10"/>
      <c r="AY765" s="10"/>
      <c r="AZ765" s="10"/>
      <c r="BA765" s="10"/>
      <c r="BB765" s="10"/>
      <c r="BC765" s="10"/>
      <c r="BD765" s="10"/>
      <c r="BE765" s="10"/>
      <c r="BF765" s="10"/>
      <c r="BG765" s="10"/>
      <c r="BH765" s="10"/>
      <c r="BI765" s="10"/>
      <c r="BJ765" s="10"/>
      <c r="BK765" s="10"/>
      <c r="BL765" s="10"/>
    </row>
    <row r="766" spans="5:64" s="8" customFormat="1" x14ac:dyDescent="0.2">
      <c r="E766" s="85"/>
      <c r="AR766" s="10"/>
      <c r="AS766" s="10"/>
      <c r="AT766" s="10"/>
      <c r="AU766" s="10"/>
      <c r="AV766" s="10"/>
      <c r="AW766" s="10"/>
      <c r="AX766" s="10"/>
      <c r="AY766" s="10"/>
      <c r="AZ766" s="10"/>
      <c r="BA766" s="10"/>
      <c r="BB766" s="10"/>
      <c r="BC766" s="10"/>
      <c r="BD766" s="10"/>
      <c r="BE766" s="10"/>
      <c r="BF766" s="10"/>
      <c r="BG766" s="10"/>
      <c r="BH766" s="10"/>
      <c r="BI766" s="10"/>
      <c r="BJ766" s="10"/>
      <c r="BK766" s="10"/>
      <c r="BL766" s="10"/>
    </row>
    <row r="767" spans="5:64" s="8" customFormat="1" x14ac:dyDescent="0.2">
      <c r="E767" s="85"/>
      <c r="AR767" s="10"/>
      <c r="AS767" s="10"/>
      <c r="AT767" s="10"/>
      <c r="AU767" s="10"/>
      <c r="AV767" s="10"/>
      <c r="AW767" s="10"/>
      <c r="AX767" s="10"/>
      <c r="AY767" s="10"/>
      <c r="AZ767" s="10"/>
      <c r="BA767" s="10"/>
      <c r="BB767" s="10"/>
      <c r="BC767" s="10"/>
      <c r="BD767" s="10"/>
      <c r="BE767" s="10"/>
      <c r="BF767" s="10"/>
      <c r="BG767" s="10"/>
      <c r="BH767" s="10"/>
      <c r="BI767" s="10"/>
      <c r="BJ767" s="10"/>
      <c r="BK767" s="10"/>
      <c r="BL767" s="10"/>
    </row>
    <row r="768" spans="5:64" s="8" customFormat="1" x14ac:dyDescent="0.2">
      <c r="E768" s="85"/>
      <c r="AR768" s="10"/>
      <c r="AS768" s="10"/>
      <c r="AT768" s="10"/>
      <c r="AU768" s="10"/>
      <c r="AV768" s="10"/>
      <c r="AW768" s="10"/>
      <c r="AX768" s="10"/>
      <c r="AY768" s="10"/>
      <c r="AZ768" s="10"/>
      <c r="BA768" s="10"/>
      <c r="BB768" s="10"/>
      <c r="BC768" s="10"/>
      <c r="BD768" s="10"/>
      <c r="BE768" s="10"/>
      <c r="BF768" s="10"/>
      <c r="BG768" s="10"/>
      <c r="BH768" s="10"/>
      <c r="BI768" s="10"/>
      <c r="BJ768" s="10"/>
      <c r="BK768" s="10"/>
      <c r="BL768" s="10"/>
    </row>
    <row r="769" spans="5:64" s="8" customFormat="1" x14ac:dyDescent="0.2">
      <c r="E769" s="85"/>
      <c r="AR769" s="10"/>
      <c r="AS769" s="10"/>
      <c r="AT769" s="10"/>
      <c r="AU769" s="10"/>
      <c r="AV769" s="10"/>
      <c r="AW769" s="10"/>
      <c r="AX769" s="10"/>
      <c r="AY769" s="10"/>
      <c r="AZ769" s="10"/>
      <c r="BA769" s="10"/>
      <c r="BB769" s="10"/>
      <c r="BC769" s="10"/>
      <c r="BD769" s="10"/>
      <c r="BE769" s="10"/>
      <c r="BF769" s="10"/>
      <c r="BG769" s="10"/>
      <c r="BH769" s="10"/>
      <c r="BI769" s="10"/>
      <c r="BJ769" s="10"/>
      <c r="BK769" s="10"/>
      <c r="BL769" s="10"/>
    </row>
    <row r="770" spans="5:64" s="8" customFormat="1" x14ac:dyDescent="0.2">
      <c r="E770" s="85"/>
      <c r="AR770" s="10"/>
      <c r="AS770" s="10"/>
      <c r="AT770" s="10"/>
      <c r="AU770" s="10"/>
      <c r="AV770" s="10"/>
      <c r="AW770" s="10"/>
      <c r="AX770" s="10"/>
      <c r="AY770" s="10"/>
      <c r="AZ770" s="10"/>
      <c r="BA770" s="10"/>
      <c r="BB770" s="10"/>
      <c r="BC770" s="10"/>
      <c r="BD770" s="10"/>
      <c r="BE770" s="10"/>
      <c r="BF770" s="10"/>
      <c r="BG770" s="10"/>
      <c r="BH770" s="10"/>
      <c r="BI770" s="10"/>
      <c r="BJ770" s="10"/>
      <c r="BK770" s="10"/>
      <c r="BL770" s="10"/>
    </row>
    <row r="771" spans="5:64" s="8" customFormat="1" x14ac:dyDescent="0.2">
      <c r="E771" s="85"/>
      <c r="AR771" s="10"/>
      <c r="AS771" s="10"/>
      <c r="AT771" s="10"/>
      <c r="AU771" s="10"/>
      <c r="AV771" s="10"/>
      <c r="AW771" s="10"/>
      <c r="AX771" s="10"/>
      <c r="AY771" s="10"/>
      <c r="AZ771" s="10"/>
      <c r="BA771" s="10"/>
      <c r="BB771" s="10"/>
      <c r="BC771" s="10"/>
      <c r="BD771" s="10"/>
      <c r="BE771" s="10"/>
      <c r="BF771" s="10"/>
      <c r="BG771" s="10"/>
      <c r="BH771" s="10"/>
      <c r="BI771" s="10"/>
      <c r="BJ771" s="10"/>
      <c r="BK771" s="10"/>
      <c r="BL771" s="10"/>
    </row>
    <row r="772" spans="5:64" s="8" customFormat="1" x14ac:dyDescent="0.2">
      <c r="E772" s="85"/>
      <c r="AR772" s="10"/>
      <c r="AS772" s="10"/>
      <c r="AT772" s="10"/>
      <c r="AU772" s="10"/>
      <c r="AV772" s="10"/>
      <c r="AW772" s="10"/>
      <c r="AX772" s="10"/>
      <c r="AY772" s="10"/>
      <c r="AZ772" s="10"/>
      <c r="BA772" s="10"/>
      <c r="BB772" s="10"/>
      <c r="BC772" s="10"/>
      <c r="BD772" s="10"/>
      <c r="BE772" s="10"/>
      <c r="BF772" s="10"/>
      <c r="BG772" s="10"/>
      <c r="BH772" s="10"/>
      <c r="BI772" s="10"/>
      <c r="BJ772" s="10"/>
      <c r="BK772" s="10"/>
      <c r="BL772" s="10"/>
    </row>
    <row r="773" spans="5:64" s="8" customFormat="1" x14ac:dyDescent="0.2">
      <c r="E773" s="85"/>
      <c r="AR773" s="10"/>
      <c r="AS773" s="10"/>
      <c r="AT773" s="10"/>
      <c r="AU773" s="10"/>
      <c r="AV773" s="10"/>
      <c r="AW773" s="10"/>
      <c r="AX773" s="10"/>
      <c r="AY773" s="10"/>
      <c r="AZ773" s="10"/>
      <c r="BA773" s="10"/>
      <c r="BB773" s="10"/>
      <c r="BC773" s="10"/>
      <c r="BD773" s="10"/>
      <c r="BE773" s="10"/>
      <c r="BF773" s="10"/>
      <c r="BG773" s="10"/>
      <c r="BH773" s="10"/>
      <c r="BI773" s="10"/>
      <c r="BJ773" s="10"/>
      <c r="BK773" s="10"/>
      <c r="BL773" s="10"/>
    </row>
    <row r="774" spans="5:64" s="8" customFormat="1" x14ac:dyDescent="0.2">
      <c r="E774" s="85"/>
      <c r="AR774" s="10"/>
      <c r="AS774" s="10"/>
      <c r="AT774" s="10"/>
      <c r="AU774" s="10"/>
      <c r="AV774" s="10"/>
      <c r="AW774" s="10"/>
      <c r="AX774" s="10"/>
      <c r="AY774" s="10"/>
      <c r="AZ774" s="10"/>
      <c r="BA774" s="10"/>
      <c r="BB774" s="10"/>
      <c r="BC774" s="10"/>
      <c r="BD774" s="10"/>
      <c r="BE774" s="10"/>
      <c r="BF774" s="10"/>
      <c r="BG774" s="10"/>
      <c r="BH774" s="10"/>
      <c r="BI774" s="10"/>
      <c r="BJ774" s="10"/>
      <c r="BK774" s="10"/>
      <c r="BL774" s="10"/>
    </row>
    <row r="775" spans="5:64" s="8" customFormat="1" x14ac:dyDescent="0.2">
      <c r="E775" s="85"/>
      <c r="AR775" s="10"/>
      <c r="AS775" s="10"/>
      <c r="AT775" s="10"/>
      <c r="AU775" s="10"/>
      <c r="AV775" s="10"/>
      <c r="AW775" s="10"/>
      <c r="AX775" s="10"/>
      <c r="AY775" s="10"/>
      <c r="AZ775" s="10"/>
      <c r="BA775" s="10"/>
      <c r="BB775" s="10"/>
      <c r="BC775" s="10"/>
      <c r="BD775" s="10"/>
      <c r="BE775" s="10"/>
      <c r="BF775" s="10"/>
      <c r="BG775" s="10"/>
      <c r="BH775" s="10"/>
      <c r="BI775" s="10"/>
      <c r="BJ775" s="10"/>
      <c r="BK775" s="10"/>
      <c r="BL775" s="10"/>
    </row>
    <row r="776" spans="5:64" s="8" customFormat="1" x14ac:dyDescent="0.2">
      <c r="E776" s="85"/>
      <c r="AR776" s="10"/>
      <c r="AS776" s="10"/>
      <c r="AT776" s="10"/>
      <c r="AU776" s="10"/>
      <c r="AV776" s="10"/>
      <c r="AW776" s="10"/>
      <c r="AX776" s="10"/>
      <c r="AY776" s="10"/>
      <c r="AZ776" s="10"/>
      <c r="BA776" s="10"/>
      <c r="BB776" s="10"/>
      <c r="BC776" s="10"/>
      <c r="BD776" s="10"/>
      <c r="BE776" s="10"/>
      <c r="BF776" s="10"/>
      <c r="BG776" s="10"/>
      <c r="BH776" s="10"/>
      <c r="BI776" s="10"/>
      <c r="BJ776" s="10"/>
      <c r="BK776" s="10"/>
      <c r="BL776" s="10"/>
    </row>
    <row r="777" spans="5:64" s="8" customFormat="1" x14ac:dyDescent="0.2">
      <c r="E777" s="85"/>
      <c r="AR777" s="10"/>
      <c r="AS777" s="10"/>
      <c r="AT777" s="10"/>
      <c r="AU777" s="10"/>
      <c r="AV777" s="10"/>
      <c r="AW777" s="10"/>
      <c r="AX777" s="10"/>
      <c r="AY777" s="10"/>
      <c r="AZ777" s="10"/>
      <c r="BA777" s="10"/>
      <c r="BB777" s="10"/>
      <c r="BC777" s="10"/>
      <c r="BD777" s="10"/>
      <c r="BE777" s="10"/>
      <c r="BF777" s="10"/>
      <c r="BG777" s="10"/>
      <c r="BH777" s="10"/>
      <c r="BI777" s="10"/>
      <c r="BJ777" s="10"/>
      <c r="BK777" s="10"/>
      <c r="BL777" s="10"/>
    </row>
    <row r="778" spans="5:64" s="8" customFormat="1" x14ac:dyDescent="0.2">
      <c r="E778" s="85"/>
      <c r="AR778" s="10"/>
      <c r="AS778" s="10"/>
      <c r="AT778" s="10"/>
      <c r="AU778" s="10"/>
      <c r="AV778" s="10"/>
      <c r="AW778" s="10"/>
      <c r="AX778" s="10"/>
      <c r="AY778" s="10"/>
      <c r="AZ778" s="10"/>
      <c r="BA778" s="10"/>
      <c r="BB778" s="10"/>
      <c r="BC778" s="10"/>
      <c r="BD778" s="10"/>
      <c r="BE778" s="10"/>
      <c r="BF778" s="10"/>
      <c r="BG778" s="10"/>
      <c r="BH778" s="10"/>
      <c r="BI778" s="10"/>
      <c r="BJ778" s="10"/>
      <c r="BK778" s="10"/>
      <c r="BL778" s="10"/>
    </row>
    <row r="779" spans="5:64" s="8" customFormat="1" x14ac:dyDescent="0.2">
      <c r="E779" s="85"/>
      <c r="AR779" s="10"/>
      <c r="AS779" s="10"/>
      <c r="AT779" s="10"/>
      <c r="AU779" s="10"/>
      <c r="AV779" s="10"/>
      <c r="AW779" s="10"/>
      <c r="AX779" s="10"/>
      <c r="AY779" s="10"/>
      <c r="AZ779" s="10"/>
      <c r="BA779" s="10"/>
      <c r="BB779" s="10"/>
      <c r="BC779" s="10"/>
      <c r="BD779" s="10"/>
      <c r="BE779" s="10"/>
      <c r="BF779" s="10"/>
      <c r="BG779" s="10"/>
      <c r="BH779" s="10"/>
      <c r="BI779" s="10"/>
      <c r="BJ779" s="10"/>
      <c r="BK779" s="10"/>
      <c r="BL779" s="10"/>
    </row>
    <row r="780" spans="5:64" s="8" customFormat="1" x14ac:dyDescent="0.2">
      <c r="E780" s="85"/>
      <c r="AR780" s="10"/>
      <c r="AS780" s="10"/>
      <c r="AT780" s="10"/>
      <c r="AU780" s="10"/>
      <c r="AV780" s="10"/>
      <c r="AW780" s="10"/>
      <c r="AX780" s="10"/>
      <c r="AY780" s="10"/>
      <c r="AZ780" s="10"/>
      <c r="BA780" s="10"/>
      <c r="BB780" s="10"/>
      <c r="BC780" s="10"/>
      <c r="BD780" s="10"/>
      <c r="BE780" s="10"/>
      <c r="BF780" s="10"/>
      <c r="BG780" s="10"/>
      <c r="BH780" s="10"/>
      <c r="BI780" s="10"/>
      <c r="BJ780" s="10"/>
      <c r="BK780" s="10"/>
      <c r="BL780" s="10"/>
    </row>
    <row r="781" spans="5:64" s="8" customFormat="1" x14ac:dyDescent="0.2">
      <c r="E781" s="85"/>
      <c r="AR781" s="10"/>
      <c r="AS781" s="10"/>
      <c r="AT781" s="10"/>
      <c r="AU781" s="10"/>
      <c r="AV781" s="10"/>
      <c r="AW781" s="10"/>
      <c r="AX781" s="10"/>
      <c r="AY781" s="10"/>
      <c r="AZ781" s="10"/>
      <c r="BA781" s="10"/>
      <c r="BB781" s="10"/>
      <c r="BC781" s="10"/>
      <c r="BD781" s="10"/>
      <c r="BE781" s="10"/>
      <c r="BF781" s="10"/>
      <c r="BG781" s="10"/>
      <c r="BH781" s="10"/>
      <c r="BI781" s="10"/>
      <c r="BJ781" s="10"/>
      <c r="BK781" s="10"/>
      <c r="BL781" s="10"/>
    </row>
    <row r="782" spans="5:64" s="8" customFormat="1" x14ac:dyDescent="0.2">
      <c r="E782" s="85"/>
      <c r="AR782" s="10"/>
      <c r="AS782" s="10"/>
      <c r="AT782" s="10"/>
      <c r="AU782" s="10"/>
      <c r="AV782" s="10"/>
      <c r="AW782" s="10"/>
      <c r="AX782" s="10"/>
      <c r="AY782" s="10"/>
      <c r="AZ782" s="10"/>
      <c r="BA782" s="10"/>
      <c r="BB782" s="10"/>
      <c r="BC782" s="10"/>
      <c r="BD782" s="10"/>
      <c r="BE782" s="10"/>
      <c r="BF782" s="10"/>
      <c r="BG782" s="10"/>
      <c r="BH782" s="10"/>
      <c r="BI782" s="10"/>
      <c r="BJ782" s="10"/>
      <c r="BK782" s="10"/>
      <c r="BL782" s="10"/>
    </row>
    <row r="783" spans="5:64" s="8" customFormat="1" x14ac:dyDescent="0.2">
      <c r="E783" s="85"/>
      <c r="AR783" s="10"/>
      <c r="AS783" s="10"/>
      <c r="AT783" s="10"/>
      <c r="AU783" s="10"/>
      <c r="AV783" s="10"/>
      <c r="AW783" s="10"/>
      <c r="AX783" s="10"/>
      <c r="AY783" s="10"/>
      <c r="AZ783" s="10"/>
      <c r="BA783" s="10"/>
      <c r="BB783" s="10"/>
      <c r="BC783" s="10"/>
      <c r="BD783" s="10"/>
      <c r="BE783" s="10"/>
      <c r="BF783" s="10"/>
      <c r="BG783" s="10"/>
      <c r="BH783" s="10"/>
      <c r="BI783" s="10"/>
      <c r="BJ783" s="10"/>
      <c r="BK783" s="10"/>
      <c r="BL783" s="10"/>
    </row>
    <row r="784" spans="5:64" s="8" customFormat="1" x14ac:dyDescent="0.2">
      <c r="E784" s="85"/>
      <c r="AR784" s="10"/>
      <c r="AS784" s="10"/>
      <c r="AT784" s="10"/>
      <c r="AU784" s="10"/>
      <c r="AV784" s="10"/>
      <c r="AW784" s="10"/>
      <c r="AX784" s="10"/>
      <c r="AY784" s="10"/>
      <c r="AZ784" s="10"/>
      <c r="BA784" s="10"/>
      <c r="BB784" s="10"/>
      <c r="BC784" s="10"/>
      <c r="BD784" s="10"/>
      <c r="BE784" s="10"/>
      <c r="BF784" s="10"/>
      <c r="BG784" s="10"/>
      <c r="BH784" s="10"/>
      <c r="BI784" s="10"/>
      <c r="BJ784" s="10"/>
      <c r="BK784" s="10"/>
      <c r="BL784" s="10"/>
    </row>
    <row r="785" spans="5:64" s="8" customFormat="1" x14ac:dyDescent="0.2">
      <c r="E785" s="85"/>
      <c r="AR785" s="10"/>
      <c r="AS785" s="10"/>
      <c r="AT785" s="10"/>
      <c r="AU785" s="10"/>
      <c r="AV785" s="10"/>
      <c r="AW785" s="10"/>
      <c r="AX785" s="10"/>
      <c r="AY785" s="10"/>
      <c r="AZ785" s="10"/>
      <c r="BA785" s="10"/>
      <c r="BB785" s="10"/>
      <c r="BC785" s="10"/>
      <c r="BD785" s="10"/>
      <c r="BE785" s="10"/>
      <c r="BF785" s="10"/>
      <c r="BG785" s="10"/>
      <c r="BH785" s="10"/>
      <c r="BI785" s="10"/>
      <c r="BJ785" s="10"/>
      <c r="BK785" s="10"/>
      <c r="BL785" s="10"/>
    </row>
    <row r="786" spans="5:64" s="8" customFormat="1" x14ac:dyDescent="0.2">
      <c r="E786" s="85"/>
      <c r="AR786" s="10"/>
      <c r="AS786" s="10"/>
      <c r="AT786" s="10"/>
      <c r="AU786" s="10"/>
      <c r="AV786" s="10"/>
      <c r="AW786" s="10"/>
      <c r="AX786" s="10"/>
      <c r="AY786" s="10"/>
      <c r="AZ786" s="10"/>
      <c r="BA786" s="10"/>
      <c r="BB786" s="10"/>
      <c r="BC786" s="10"/>
      <c r="BD786" s="10"/>
      <c r="BE786" s="10"/>
      <c r="BF786" s="10"/>
      <c r="BG786" s="10"/>
      <c r="BH786" s="10"/>
      <c r="BI786" s="10"/>
      <c r="BJ786" s="10"/>
      <c r="BK786" s="10"/>
      <c r="BL786" s="10"/>
    </row>
    <row r="787" spans="5:64" s="8" customFormat="1" x14ac:dyDescent="0.2">
      <c r="E787" s="85"/>
      <c r="AR787" s="10"/>
      <c r="AS787" s="10"/>
      <c r="AT787" s="10"/>
      <c r="AU787" s="10"/>
      <c r="AV787" s="10"/>
      <c r="AW787" s="10"/>
      <c r="AX787" s="10"/>
      <c r="AY787" s="10"/>
      <c r="AZ787" s="10"/>
      <c r="BA787" s="10"/>
      <c r="BB787" s="10"/>
      <c r="BC787" s="10"/>
      <c r="BD787" s="10"/>
      <c r="BE787" s="10"/>
      <c r="BF787" s="10"/>
      <c r="BG787" s="10"/>
      <c r="BH787" s="10"/>
      <c r="BI787" s="10"/>
      <c r="BJ787" s="10"/>
      <c r="BK787" s="10"/>
      <c r="BL787" s="10"/>
    </row>
    <row r="788" spans="5:64" s="8" customFormat="1" x14ac:dyDescent="0.2">
      <c r="E788" s="85"/>
      <c r="AR788" s="10"/>
      <c r="AS788" s="10"/>
      <c r="AT788" s="10"/>
      <c r="AU788" s="10"/>
      <c r="AV788" s="10"/>
      <c r="AW788" s="10"/>
      <c r="AX788" s="10"/>
      <c r="AY788" s="10"/>
      <c r="AZ788" s="10"/>
      <c r="BA788" s="10"/>
      <c r="BB788" s="10"/>
      <c r="BC788" s="10"/>
      <c r="BD788" s="10"/>
      <c r="BE788" s="10"/>
      <c r="BF788" s="10"/>
      <c r="BG788" s="10"/>
      <c r="BH788" s="10"/>
      <c r="BI788" s="10"/>
      <c r="BJ788" s="10"/>
      <c r="BK788" s="10"/>
      <c r="BL788" s="10"/>
    </row>
    <row r="789" spans="5:64" s="8" customFormat="1" x14ac:dyDescent="0.2">
      <c r="E789" s="85"/>
      <c r="AR789" s="10"/>
      <c r="AS789" s="10"/>
      <c r="AT789" s="10"/>
      <c r="AU789" s="10"/>
      <c r="AV789" s="10"/>
      <c r="AW789" s="10"/>
      <c r="AX789" s="10"/>
      <c r="AY789" s="10"/>
      <c r="AZ789" s="10"/>
      <c r="BA789" s="10"/>
      <c r="BB789" s="10"/>
      <c r="BC789" s="10"/>
      <c r="BD789" s="10"/>
      <c r="BE789" s="10"/>
      <c r="BF789" s="10"/>
      <c r="BG789" s="10"/>
      <c r="BH789" s="10"/>
      <c r="BI789" s="10"/>
      <c r="BJ789" s="10"/>
      <c r="BK789" s="10"/>
      <c r="BL789" s="10"/>
    </row>
    <row r="790" spans="5:64" s="8" customFormat="1" x14ac:dyDescent="0.2">
      <c r="E790" s="85"/>
      <c r="AR790" s="10"/>
      <c r="AS790" s="10"/>
      <c r="AT790" s="10"/>
      <c r="AU790" s="10"/>
      <c r="AV790" s="10"/>
      <c r="AW790" s="10"/>
      <c r="AX790" s="10"/>
      <c r="AY790" s="10"/>
      <c r="AZ790" s="10"/>
      <c r="BA790" s="10"/>
      <c r="BB790" s="10"/>
      <c r="BC790" s="10"/>
      <c r="BD790" s="10"/>
      <c r="BE790" s="10"/>
      <c r="BF790" s="10"/>
      <c r="BG790" s="10"/>
      <c r="BH790" s="10"/>
      <c r="BI790" s="10"/>
      <c r="BJ790" s="10"/>
      <c r="BK790" s="10"/>
      <c r="BL790" s="10"/>
    </row>
    <row r="791" spans="5:64" s="8" customFormat="1" x14ac:dyDescent="0.2">
      <c r="E791" s="85"/>
      <c r="AR791" s="10"/>
      <c r="AS791" s="10"/>
      <c r="AT791" s="10"/>
      <c r="AU791" s="10"/>
      <c r="AV791" s="10"/>
      <c r="AW791" s="10"/>
      <c r="AX791" s="10"/>
      <c r="AY791" s="10"/>
      <c r="AZ791" s="10"/>
      <c r="BA791" s="10"/>
      <c r="BB791" s="10"/>
      <c r="BC791" s="10"/>
      <c r="BD791" s="10"/>
      <c r="BE791" s="10"/>
      <c r="BF791" s="10"/>
      <c r="BG791" s="10"/>
      <c r="BH791" s="10"/>
      <c r="BI791" s="10"/>
      <c r="BJ791" s="10"/>
      <c r="BK791" s="10"/>
      <c r="BL791" s="10"/>
    </row>
    <row r="792" spans="5:64" s="8" customFormat="1" x14ac:dyDescent="0.2">
      <c r="E792" s="85"/>
      <c r="AR792" s="10"/>
      <c r="AS792" s="10"/>
      <c r="AT792" s="10"/>
      <c r="AU792" s="10"/>
      <c r="AV792" s="10"/>
      <c r="AW792" s="10"/>
      <c r="AX792" s="10"/>
      <c r="AY792" s="10"/>
      <c r="AZ792" s="10"/>
      <c r="BA792" s="10"/>
      <c r="BB792" s="10"/>
      <c r="BC792" s="10"/>
      <c r="BD792" s="10"/>
      <c r="BE792" s="10"/>
      <c r="BF792" s="10"/>
      <c r="BG792" s="10"/>
      <c r="BH792" s="10"/>
      <c r="BI792" s="10"/>
      <c r="BJ792" s="10"/>
      <c r="BK792" s="10"/>
      <c r="BL792" s="10"/>
    </row>
    <row r="793" spans="5:64" s="8" customFormat="1" x14ac:dyDescent="0.2">
      <c r="E793" s="85"/>
      <c r="AR793" s="10"/>
      <c r="AS793" s="10"/>
      <c r="AT793" s="10"/>
      <c r="AU793" s="10"/>
      <c r="AV793" s="10"/>
      <c r="AW793" s="10"/>
      <c r="AX793" s="10"/>
      <c r="AY793" s="10"/>
      <c r="AZ793" s="10"/>
      <c r="BA793" s="10"/>
      <c r="BB793" s="10"/>
      <c r="BC793" s="10"/>
      <c r="BD793" s="10"/>
      <c r="BE793" s="10"/>
      <c r="BF793" s="10"/>
      <c r="BG793" s="10"/>
      <c r="BH793" s="10"/>
      <c r="BI793" s="10"/>
      <c r="BJ793" s="10"/>
      <c r="BK793" s="10"/>
      <c r="BL793" s="10"/>
    </row>
    <row r="794" spans="5:64" s="8" customFormat="1" x14ac:dyDescent="0.2">
      <c r="E794" s="85"/>
      <c r="AR794" s="10"/>
      <c r="AS794" s="10"/>
      <c r="AT794" s="10"/>
      <c r="AU794" s="10"/>
      <c r="AV794" s="10"/>
      <c r="AW794" s="10"/>
      <c r="AX794" s="10"/>
      <c r="AY794" s="10"/>
      <c r="AZ794" s="10"/>
      <c r="BA794" s="10"/>
      <c r="BB794" s="10"/>
      <c r="BC794" s="10"/>
      <c r="BD794" s="10"/>
      <c r="BE794" s="10"/>
      <c r="BF794" s="10"/>
      <c r="BG794" s="10"/>
      <c r="BH794" s="10"/>
      <c r="BI794" s="10"/>
      <c r="BJ794" s="10"/>
      <c r="BK794" s="10"/>
      <c r="BL794" s="10"/>
    </row>
    <row r="795" spans="5:64" s="8" customFormat="1" x14ac:dyDescent="0.2">
      <c r="E795" s="85"/>
      <c r="AR795" s="10"/>
      <c r="AS795" s="10"/>
      <c r="AT795" s="10"/>
      <c r="AU795" s="10"/>
      <c r="AV795" s="10"/>
      <c r="AW795" s="10"/>
      <c r="AX795" s="10"/>
      <c r="AY795" s="10"/>
      <c r="AZ795" s="10"/>
      <c r="BA795" s="10"/>
      <c r="BB795" s="10"/>
      <c r="BC795" s="10"/>
      <c r="BD795" s="10"/>
      <c r="BE795" s="10"/>
      <c r="BF795" s="10"/>
      <c r="BG795" s="10"/>
      <c r="BH795" s="10"/>
      <c r="BI795" s="10"/>
      <c r="BJ795" s="10"/>
      <c r="BK795" s="10"/>
      <c r="BL795" s="10"/>
    </row>
    <row r="796" spans="5:64" s="8" customFormat="1" x14ac:dyDescent="0.2">
      <c r="E796" s="85"/>
      <c r="AR796" s="10"/>
      <c r="AS796" s="10"/>
      <c r="AT796" s="10"/>
      <c r="AU796" s="10"/>
      <c r="AV796" s="10"/>
      <c r="AW796" s="10"/>
      <c r="AX796" s="10"/>
      <c r="AY796" s="10"/>
      <c r="AZ796" s="10"/>
      <c r="BA796" s="10"/>
      <c r="BB796" s="10"/>
      <c r="BC796" s="10"/>
      <c r="BD796" s="10"/>
      <c r="BE796" s="10"/>
      <c r="BF796" s="10"/>
      <c r="BG796" s="10"/>
      <c r="BH796" s="10"/>
      <c r="BI796" s="10"/>
      <c r="BJ796" s="10"/>
      <c r="BK796" s="10"/>
      <c r="BL796" s="10"/>
    </row>
    <row r="797" spans="5:64" s="8" customFormat="1" x14ac:dyDescent="0.2">
      <c r="E797" s="85"/>
      <c r="AR797" s="10"/>
      <c r="AS797" s="10"/>
      <c r="AT797" s="10"/>
      <c r="AU797" s="10"/>
      <c r="AV797" s="10"/>
      <c r="AW797" s="10"/>
      <c r="AX797" s="10"/>
      <c r="AY797" s="10"/>
      <c r="AZ797" s="10"/>
      <c r="BA797" s="10"/>
      <c r="BB797" s="10"/>
      <c r="BC797" s="10"/>
      <c r="BD797" s="10"/>
      <c r="BE797" s="10"/>
      <c r="BF797" s="10"/>
      <c r="BG797" s="10"/>
      <c r="BH797" s="10"/>
      <c r="BI797" s="10"/>
      <c r="BJ797" s="10"/>
      <c r="BK797" s="10"/>
      <c r="BL797" s="10"/>
    </row>
    <row r="798" spans="5:64" s="8" customFormat="1" x14ac:dyDescent="0.2">
      <c r="E798" s="85"/>
      <c r="AR798" s="10"/>
      <c r="AS798" s="10"/>
      <c r="AT798" s="10"/>
      <c r="AU798" s="10"/>
      <c r="AV798" s="10"/>
      <c r="AW798" s="10"/>
      <c r="AX798" s="10"/>
      <c r="AY798" s="10"/>
      <c r="AZ798" s="10"/>
      <c r="BA798" s="10"/>
      <c r="BB798" s="10"/>
      <c r="BC798" s="10"/>
      <c r="BD798" s="10"/>
      <c r="BE798" s="10"/>
      <c r="BF798" s="10"/>
      <c r="BG798" s="10"/>
      <c r="BH798" s="10"/>
      <c r="BI798" s="10"/>
      <c r="BJ798" s="10"/>
      <c r="BK798" s="10"/>
      <c r="BL798" s="10"/>
    </row>
    <row r="799" spans="5:64" s="8" customFormat="1" x14ac:dyDescent="0.2">
      <c r="E799" s="85"/>
      <c r="AR799" s="10"/>
      <c r="AS799" s="10"/>
      <c r="AT799" s="10"/>
      <c r="AU799" s="10"/>
      <c r="AV799" s="10"/>
      <c r="AW799" s="10"/>
      <c r="AX799" s="10"/>
      <c r="AY799" s="10"/>
      <c r="AZ799" s="10"/>
      <c r="BA799" s="10"/>
      <c r="BB799" s="10"/>
      <c r="BC799" s="10"/>
      <c r="BD799" s="10"/>
      <c r="BE799" s="10"/>
      <c r="BF799" s="10"/>
      <c r="BG799" s="10"/>
      <c r="BH799" s="10"/>
      <c r="BI799" s="10"/>
      <c r="BJ799" s="10"/>
      <c r="BK799" s="10"/>
      <c r="BL799" s="10"/>
    </row>
    <row r="800" spans="5:64" s="8" customFormat="1" x14ac:dyDescent="0.2">
      <c r="E800" s="85"/>
      <c r="AR800" s="10"/>
      <c r="AS800" s="10"/>
      <c r="AT800" s="10"/>
      <c r="AU800" s="10"/>
      <c r="AV800" s="10"/>
      <c r="AW800" s="10"/>
      <c r="AX800" s="10"/>
      <c r="AY800" s="10"/>
      <c r="AZ800" s="10"/>
      <c r="BA800" s="10"/>
      <c r="BB800" s="10"/>
      <c r="BC800" s="10"/>
      <c r="BD800" s="10"/>
      <c r="BE800" s="10"/>
      <c r="BF800" s="10"/>
      <c r="BG800" s="10"/>
      <c r="BH800" s="10"/>
      <c r="BI800" s="10"/>
      <c r="BJ800" s="10"/>
      <c r="BK800" s="10"/>
      <c r="BL800" s="10"/>
    </row>
    <row r="801" spans="5:64" s="8" customFormat="1" x14ac:dyDescent="0.2">
      <c r="E801" s="85"/>
      <c r="AR801" s="10"/>
      <c r="AS801" s="10"/>
      <c r="AT801" s="10"/>
      <c r="AU801" s="10"/>
      <c r="AV801" s="10"/>
      <c r="AW801" s="10"/>
      <c r="AX801" s="10"/>
      <c r="AY801" s="10"/>
      <c r="AZ801" s="10"/>
      <c r="BA801" s="10"/>
      <c r="BB801" s="10"/>
      <c r="BC801" s="10"/>
      <c r="BD801" s="10"/>
      <c r="BE801" s="10"/>
      <c r="BF801" s="10"/>
      <c r="BG801" s="10"/>
      <c r="BH801" s="10"/>
      <c r="BI801" s="10"/>
      <c r="BJ801" s="10"/>
      <c r="BK801" s="10"/>
      <c r="BL801" s="10"/>
    </row>
    <row r="802" spans="5:64" s="8" customFormat="1" x14ac:dyDescent="0.2">
      <c r="E802" s="85"/>
      <c r="AR802" s="10"/>
      <c r="AS802" s="10"/>
      <c r="AT802" s="10"/>
      <c r="AU802" s="10"/>
      <c r="AV802" s="10"/>
      <c r="AW802" s="10"/>
      <c r="AX802" s="10"/>
      <c r="AY802" s="10"/>
      <c r="AZ802" s="10"/>
      <c r="BA802" s="10"/>
      <c r="BB802" s="10"/>
      <c r="BC802" s="10"/>
      <c r="BD802" s="10"/>
      <c r="BE802" s="10"/>
      <c r="BF802" s="10"/>
      <c r="BG802" s="10"/>
      <c r="BH802" s="10"/>
      <c r="BI802" s="10"/>
      <c r="BJ802" s="10"/>
      <c r="BK802" s="10"/>
      <c r="BL802" s="10"/>
    </row>
    <row r="803" spans="5:64" s="8" customFormat="1" x14ac:dyDescent="0.2">
      <c r="E803" s="85"/>
      <c r="AR803" s="10"/>
      <c r="AS803" s="10"/>
      <c r="AT803" s="10"/>
      <c r="AU803" s="10"/>
      <c r="AV803" s="10"/>
      <c r="AW803" s="10"/>
      <c r="AX803" s="10"/>
      <c r="AY803" s="10"/>
      <c r="AZ803" s="10"/>
      <c r="BA803" s="10"/>
      <c r="BB803" s="10"/>
      <c r="BC803" s="10"/>
      <c r="BD803" s="10"/>
      <c r="BE803" s="10"/>
      <c r="BF803" s="10"/>
      <c r="BG803" s="10"/>
      <c r="BH803" s="10"/>
      <c r="BI803" s="10"/>
      <c r="BJ803" s="10"/>
      <c r="BK803" s="10"/>
      <c r="BL803" s="10"/>
    </row>
    <row r="804" spans="5:64" s="8" customFormat="1" x14ac:dyDescent="0.2">
      <c r="E804" s="85"/>
      <c r="AR804" s="10"/>
      <c r="AS804" s="10"/>
      <c r="AT804" s="10"/>
      <c r="AU804" s="10"/>
      <c r="AV804" s="10"/>
      <c r="AW804" s="10"/>
      <c r="AX804" s="10"/>
      <c r="AY804" s="10"/>
      <c r="AZ804" s="10"/>
      <c r="BA804" s="10"/>
      <c r="BB804" s="10"/>
      <c r="BC804" s="10"/>
      <c r="BD804" s="10"/>
      <c r="BE804" s="10"/>
      <c r="BF804" s="10"/>
      <c r="BG804" s="10"/>
      <c r="BH804" s="10"/>
      <c r="BI804" s="10"/>
      <c r="BJ804" s="10"/>
      <c r="BK804" s="10"/>
      <c r="BL804" s="10"/>
    </row>
    <row r="805" spans="5:64" s="8" customFormat="1" x14ac:dyDescent="0.2">
      <c r="E805" s="85"/>
      <c r="AR805" s="10"/>
      <c r="AS805" s="10"/>
      <c r="AT805" s="10"/>
      <c r="AU805" s="10"/>
      <c r="AV805" s="10"/>
      <c r="AW805" s="10"/>
      <c r="AX805" s="10"/>
      <c r="AY805" s="10"/>
      <c r="AZ805" s="10"/>
      <c r="BA805" s="10"/>
      <c r="BB805" s="10"/>
      <c r="BC805" s="10"/>
      <c r="BD805" s="10"/>
      <c r="BE805" s="10"/>
      <c r="BF805" s="10"/>
      <c r="BG805" s="10"/>
      <c r="BH805" s="10"/>
      <c r="BI805" s="10"/>
      <c r="BJ805" s="10"/>
      <c r="BK805" s="10"/>
      <c r="BL805" s="10"/>
    </row>
    <row r="806" spans="5:64" s="8" customFormat="1" x14ac:dyDescent="0.2">
      <c r="E806" s="85"/>
      <c r="AR806" s="10"/>
      <c r="AS806" s="10"/>
      <c r="AT806" s="10"/>
      <c r="AU806" s="10"/>
      <c r="AV806" s="10"/>
      <c r="AW806" s="10"/>
      <c r="AX806" s="10"/>
      <c r="AY806" s="10"/>
      <c r="AZ806" s="10"/>
      <c r="BA806" s="10"/>
      <c r="BB806" s="10"/>
      <c r="BC806" s="10"/>
      <c r="BD806" s="10"/>
      <c r="BE806" s="10"/>
      <c r="BF806" s="10"/>
      <c r="BG806" s="10"/>
      <c r="BH806" s="10"/>
      <c r="BI806" s="10"/>
      <c r="BJ806" s="10"/>
      <c r="BK806" s="10"/>
      <c r="BL806" s="10"/>
    </row>
    <row r="807" spans="5:64" s="8" customFormat="1" x14ac:dyDescent="0.2">
      <c r="E807" s="85"/>
      <c r="AR807" s="10"/>
      <c r="AS807" s="10"/>
      <c r="AT807" s="10"/>
      <c r="AU807" s="10"/>
      <c r="AV807" s="10"/>
      <c r="AW807" s="10"/>
      <c r="AX807" s="10"/>
      <c r="AY807" s="10"/>
      <c r="AZ807" s="10"/>
      <c r="BA807" s="10"/>
      <c r="BB807" s="10"/>
      <c r="BC807" s="10"/>
      <c r="BD807" s="10"/>
      <c r="BE807" s="10"/>
      <c r="BF807" s="10"/>
      <c r="BG807" s="10"/>
      <c r="BH807" s="10"/>
      <c r="BI807" s="10"/>
      <c r="BJ807" s="10"/>
      <c r="BK807" s="10"/>
      <c r="BL807" s="10"/>
    </row>
    <row r="808" spans="5:64" s="8" customFormat="1" x14ac:dyDescent="0.2">
      <c r="E808" s="85"/>
      <c r="AR808" s="10"/>
      <c r="AS808" s="10"/>
      <c r="AT808" s="10"/>
      <c r="AU808" s="10"/>
      <c r="AV808" s="10"/>
      <c r="AW808" s="10"/>
      <c r="AX808" s="10"/>
      <c r="AY808" s="10"/>
      <c r="AZ808" s="10"/>
      <c r="BA808" s="10"/>
      <c r="BB808" s="10"/>
      <c r="BC808" s="10"/>
      <c r="BD808" s="10"/>
      <c r="BE808" s="10"/>
      <c r="BF808" s="10"/>
      <c r="BG808" s="10"/>
      <c r="BH808" s="10"/>
      <c r="BI808" s="10"/>
      <c r="BJ808" s="10"/>
      <c r="BK808" s="10"/>
      <c r="BL808" s="10"/>
    </row>
    <row r="809" spans="5:64" s="8" customFormat="1" x14ac:dyDescent="0.2">
      <c r="E809" s="85"/>
      <c r="AR809" s="10"/>
      <c r="AS809" s="10"/>
      <c r="AT809" s="10"/>
      <c r="AU809" s="10"/>
      <c r="AV809" s="10"/>
      <c r="AW809" s="10"/>
      <c r="AX809" s="10"/>
      <c r="AY809" s="10"/>
      <c r="AZ809" s="10"/>
      <c r="BA809" s="10"/>
      <c r="BB809" s="10"/>
      <c r="BC809" s="10"/>
      <c r="BD809" s="10"/>
      <c r="BE809" s="10"/>
      <c r="BF809" s="10"/>
      <c r="BG809" s="10"/>
      <c r="BH809" s="10"/>
      <c r="BI809" s="10"/>
      <c r="BJ809" s="10"/>
      <c r="BK809" s="10"/>
      <c r="BL809" s="10"/>
    </row>
    <row r="810" spans="5:64" s="8" customFormat="1" x14ac:dyDescent="0.2">
      <c r="E810" s="85"/>
      <c r="AR810" s="10"/>
      <c r="AS810" s="10"/>
      <c r="AT810" s="10"/>
      <c r="AU810" s="10"/>
      <c r="AV810" s="10"/>
      <c r="AW810" s="10"/>
      <c r="AX810" s="10"/>
      <c r="AY810" s="10"/>
      <c r="AZ810" s="10"/>
      <c r="BA810" s="10"/>
      <c r="BB810" s="10"/>
      <c r="BC810" s="10"/>
      <c r="BD810" s="10"/>
      <c r="BE810" s="10"/>
      <c r="BF810" s="10"/>
      <c r="BG810" s="10"/>
      <c r="BH810" s="10"/>
      <c r="BI810" s="10"/>
      <c r="BJ810" s="10"/>
      <c r="BK810" s="10"/>
      <c r="BL810" s="10"/>
    </row>
    <row r="811" spans="5:64" s="8" customFormat="1" x14ac:dyDescent="0.2">
      <c r="E811" s="85"/>
      <c r="AR811" s="10"/>
      <c r="AS811" s="10"/>
      <c r="AT811" s="10"/>
      <c r="AU811" s="10"/>
      <c r="AV811" s="10"/>
      <c r="AW811" s="10"/>
      <c r="AX811" s="10"/>
      <c r="AY811" s="10"/>
      <c r="AZ811" s="10"/>
      <c r="BA811" s="10"/>
      <c r="BB811" s="10"/>
      <c r="BC811" s="10"/>
      <c r="BD811" s="10"/>
      <c r="BE811" s="10"/>
      <c r="BF811" s="10"/>
      <c r="BG811" s="10"/>
      <c r="BH811" s="10"/>
      <c r="BI811" s="10"/>
      <c r="BJ811" s="10"/>
      <c r="BK811" s="10"/>
      <c r="BL811" s="10"/>
    </row>
    <row r="812" spans="5:64" s="8" customFormat="1" x14ac:dyDescent="0.2">
      <c r="E812" s="85"/>
      <c r="AR812" s="10"/>
      <c r="AS812" s="10"/>
      <c r="AT812" s="10"/>
      <c r="AU812" s="10"/>
      <c r="AV812" s="10"/>
      <c r="AW812" s="10"/>
      <c r="AX812" s="10"/>
      <c r="AY812" s="10"/>
      <c r="AZ812" s="10"/>
      <c r="BA812" s="10"/>
      <c r="BB812" s="10"/>
      <c r="BC812" s="10"/>
      <c r="BD812" s="10"/>
      <c r="BE812" s="10"/>
      <c r="BF812" s="10"/>
      <c r="BG812" s="10"/>
      <c r="BH812" s="10"/>
      <c r="BI812" s="10"/>
      <c r="BJ812" s="10"/>
      <c r="BK812" s="10"/>
      <c r="BL812" s="10"/>
    </row>
    <row r="813" spans="5:64" s="8" customFormat="1" x14ac:dyDescent="0.2">
      <c r="E813" s="85"/>
      <c r="AR813" s="10"/>
      <c r="AS813" s="10"/>
      <c r="AT813" s="10"/>
      <c r="AU813" s="10"/>
      <c r="AV813" s="10"/>
      <c r="AW813" s="10"/>
      <c r="AX813" s="10"/>
      <c r="AY813" s="10"/>
      <c r="AZ813" s="10"/>
      <c r="BA813" s="10"/>
      <c r="BB813" s="10"/>
      <c r="BC813" s="10"/>
      <c r="BD813" s="10"/>
      <c r="BE813" s="10"/>
      <c r="BF813" s="10"/>
      <c r="BG813" s="10"/>
      <c r="BH813" s="10"/>
      <c r="BI813" s="10"/>
      <c r="BJ813" s="10"/>
      <c r="BK813" s="10"/>
      <c r="BL813" s="10"/>
    </row>
    <row r="814" spans="5:64" s="8" customFormat="1" x14ac:dyDescent="0.2">
      <c r="E814" s="85"/>
      <c r="AR814" s="10"/>
      <c r="AS814" s="10"/>
      <c r="AT814" s="10"/>
      <c r="AU814" s="10"/>
      <c r="AV814" s="10"/>
      <c r="AW814" s="10"/>
      <c r="AX814" s="10"/>
      <c r="AY814" s="10"/>
      <c r="AZ814" s="10"/>
      <c r="BA814" s="10"/>
      <c r="BB814" s="10"/>
      <c r="BC814" s="10"/>
      <c r="BD814" s="10"/>
      <c r="BE814" s="10"/>
      <c r="BF814" s="10"/>
      <c r="BG814" s="10"/>
      <c r="BH814" s="10"/>
      <c r="BI814" s="10"/>
      <c r="BJ814" s="10"/>
      <c r="BK814" s="10"/>
      <c r="BL814" s="10"/>
    </row>
    <row r="815" spans="5:64" s="8" customFormat="1" x14ac:dyDescent="0.2">
      <c r="E815" s="85"/>
      <c r="AR815" s="10"/>
      <c r="AS815" s="10"/>
      <c r="AT815" s="10"/>
      <c r="AU815" s="10"/>
      <c r="AV815" s="10"/>
      <c r="AW815" s="10"/>
      <c r="AX815" s="10"/>
      <c r="AY815" s="10"/>
      <c r="AZ815" s="10"/>
      <c r="BA815" s="10"/>
      <c r="BB815" s="10"/>
      <c r="BC815" s="10"/>
      <c r="BD815" s="10"/>
      <c r="BE815" s="10"/>
      <c r="BF815" s="10"/>
      <c r="BG815" s="10"/>
      <c r="BH815" s="10"/>
      <c r="BI815" s="10"/>
      <c r="BJ815" s="10"/>
      <c r="BK815" s="10"/>
      <c r="BL815" s="10"/>
    </row>
    <row r="816" spans="5:64" s="8" customFormat="1" x14ac:dyDescent="0.2">
      <c r="E816" s="85"/>
      <c r="AR816" s="10"/>
      <c r="AS816" s="10"/>
      <c r="AT816" s="10"/>
      <c r="AU816" s="10"/>
      <c r="AV816" s="10"/>
      <c r="AW816" s="10"/>
      <c r="AX816" s="10"/>
      <c r="AY816" s="10"/>
      <c r="AZ816" s="10"/>
      <c r="BA816" s="10"/>
      <c r="BB816" s="10"/>
      <c r="BC816" s="10"/>
      <c r="BD816" s="10"/>
      <c r="BE816" s="10"/>
      <c r="BF816" s="10"/>
      <c r="BG816" s="10"/>
      <c r="BH816" s="10"/>
      <c r="BI816" s="10"/>
      <c r="BJ816" s="10"/>
      <c r="BK816" s="10"/>
      <c r="BL816" s="10"/>
    </row>
    <row r="817" spans="5:64" s="8" customFormat="1" x14ac:dyDescent="0.2">
      <c r="E817" s="85"/>
      <c r="AR817" s="10"/>
      <c r="AS817" s="10"/>
      <c r="AT817" s="10"/>
      <c r="AU817" s="10"/>
      <c r="AV817" s="10"/>
      <c r="AW817" s="10"/>
      <c r="AX817" s="10"/>
      <c r="AY817" s="10"/>
      <c r="AZ817" s="10"/>
      <c r="BA817" s="10"/>
      <c r="BB817" s="10"/>
      <c r="BC817" s="10"/>
      <c r="BD817" s="10"/>
      <c r="BE817" s="10"/>
      <c r="BF817" s="10"/>
      <c r="BG817" s="10"/>
      <c r="BH817" s="10"/>
      <c r="BI817" s="10"/>
      <c r="BJ817" s="10"/>
      <c r="BK817" s="10"/>
      <c r="BL817" s="10"/>
    </row>
    <row r="818" spans="5:64" s="8" customFormat="1" x14ac:dyDescent="0.2">
      <c r="E818" s="85"/>
      <c r="AR818" s="10"/>
      <c r="AS818" s="10"/>
      <c r="AT818" s="10"/>
      <c r="AU818" s="10"/>
      <c r="AV818" s="10"/>
      <c r="AW818" s="10"/>
      <c r="AX818" s="10"/>
      <c r="AY818" s="10"/>
      <c r="AZ818" s="10"/>
      <c r="BA818" s="10"/>
      <c r="BB818" s="10"/>
      <c r="BC818" s="10"/>
      <c r="BD818" s="10"/>
      <c r="BE818" s="10"/>
      <c r="BF818" s="10"/>
      <c r="BG818" s="10"/>
      <c r="BH818" s="10"/>
      <c r="BI818" s="10"/>
      <c r="BJ818" s="10"/>
      <c r="BK818" s="10"/>
      <c r="BL818" s="10"/>
    </row>
    <row r="819" spans="5:64" s="8" customFormat="1" x14ac:dyDescent="0.2">
      <c r="E819" s="85"/>
      <c r="AR819" s="10"/>
      <c r="AS819" s="10"/>
      <c r="AT819" s="10"/>
      <c r="AU819" s="10"/>
      <c r="AV819" s="10"/>
      <c r="AW819" s="10"/>
      <c r="AX819" s="10"/>
      <c r="AY819" s="10"/>
      <c r="AZ819" s="10"/>
      <c r="BA819" s="10"/>
      <c r="BB819" s="10"/>
      <c r="BC819" s="10"/>
      <c r="BD819" s="10"/>
      <c r="BE819" s="10"/>
      <c r="BF819" s="10"/>
      <c r="BG819" s="10"/>
      <c r="BH819" s="10"/>
      <c r="BI819" s="10"/>
      <c r="BJ819" s="10"/>
      <c r="BK819" s="10"/>
      <c r="BL819" s="10"/>
    </row>
    <row r="820" spans="5:64" s="8" customFormat="1" x14ac:dyDescent="0.2">
      <c r="E820" s="85"/>
      <c r="AR820" s="10"/>
      <c r="AS820" s="10"/>
      <c r="AT820" s="10"/>
      <c r="AU820" s="10"/>
      <c r="AV820" s="10"/>
      <c r="AW820" s="10"/>
      <c r="AX820" s="10"/>
      <c r="AY820" s="10"/>
      <c r="AZ820" s="10"/>
      <c r="BA820" s="10"/>
      <c r="BB820" s="10"/>
      <c r="BC820" s="10"/>
      <c r="BD820" s="10"/>
      <c r="BE820" s="10"/>
      <c r="BF820" s="10"/>
      <c r="BG820" s="10"/>
      <c r="BH820" s="10"/>
      <c r="BI820" s="10"/>
      <c r="BJ820" s="10"/>
      <c r="BK820" s="10"/>
      <c r="BL820" s="10"/>
    </row>
    <row r="821" spans="5:64" s="8" customFormat="1" x14ac:dyDescent="0.2">
      <c r="E821" s="85"/>
      <c r="AR821" s="10"/>
      <c r="AS821" s="10"/>
      <c r="AT821" s="10"/>
      <c r="AU821" s="10"/>
      <c r="AV821" s="10"/>
      <c r="AW821" s="10"/>
      <c r="AX821" s="10"/>
      <c r="AY821" s="10"/>
      <c r="AZ821" s="10"/>
      <c r="BA821" s="10"/>
      <c r="BB821" s="10"/>
      <c r="BC821" s="10"/>
      <c r="BD821" s="10"/>
      <c r="BE821" s="10"/>
      <c r="BF821" s="10"/>
      <c r="BG821" s="10"/>
      <c r="BH821" s="10"/>
      <c r="BI821" s="10"/>
      <c r="BJ821" s="10"/>
      <c r="BK821" s="10"/>
      <c r="BL821" s="10"/>
    </row>
    <row r="822" spans="5:64" s="8" customFormat="1" x14ac:dyDescent="0.2">
      <c r="E822" s="85"/>
      <c r="AR822" s="10"/>
      <c r="AS822" s="10"/>
      <c r="AT822" s="10"/>
      <c r="AU822" s="10"/>
      <c r="AV822" s="10"/>
      <c r="AW822" s="10"/>
      <c r="AX822" s="10"/>
      <c r="AY822" s="10"/>
      <c r="AZ822" s="10"/>
      <c r="BA822" s="10"/>
      <c r="BB822" s="10"/>
      <c r="BC822" s="10"/>
      <c r="BD822" s="10"/>
      <c r="BE822" s="10"/>
      <c r="BF822" s="10"/>
      <c r="BG822" s="10"/>
      <c r="BH822" s="10"/>
      <c r="BI822" s="10"/>
      <c r="BJ822" s="10"/>
      <c r="BK822" s="10"/>
      <c r="BL822" s="10"/>
    </row>
    <row r="823" spans="5:64" s="8" customFormat="1" x14ac:dyDescent="0.2">
      <c r="E823" s="85"/>
      <c r="AR823" s="10"/>
      <c r="AS823" s="10"/>
      <c r="AT823" s="10"/>
      <c r="AU823" s="10"/>
      <c r="AV823" s="10"/>
      <c r="AW823" s="10"/>
      <c r="AX823" s="10"/>
      <c r="AY823" s="10"/>
      <c r="AZ823" s="10"/>
      <c r="BA823" s="10"/>
      <c r="BB823" s="10"/>
      <c r="BC823" s="10"/>
      <c r="BD823" s="10"/>
      <c r="BE823" s="10"/>
      <c r="BF823" s="10"/>
      <c r="BG823" s="10"/>
      <c r="BH823" s="10"/>
      <c r="BI823" s="10"/>
      <c r="BJ823" s="10"/>
      <c r="BK823" s="10"/>
      <c r="BL823" s="10"/>
    </row>
    <row r="824" spans="5:64" s="8" customFormat="1" x14ac:dyDescent="0.2">
      <c r="E824" s="85"/>
      <c r="AR824" s="10"/>
      <c r="AS824" s="10"/>
      <c r="AT824" s="10"/>
      <c r="AU824" s="10"/>
      <c r="AV824" s="10"/>
      <c r="AW824" s="10"/>
      <c r="AX824" s="10"/>
      <c r="AY824" s="10"/>
      <c r="AZ824" s="10"/>
      <c r="BA824" s="10"/>
      <c r="BB824" s="10"/>
      <c r="BC824" s="10"/>
      <c r="BD824" s="10"/>
      <c r="BE824" s="10"/>
      <c r="BF824" s="10"/>
      <c r="BG824" s="10"/>
      <c r="BH824" s="10"/>
      <c r="BI824" s="10"/>
      <c r="BJ824" s="10"/>
      <c r="BK824" s="10"/>
      <c r="BL824" s="10"/>
    </row>
    <row r="825" spans="5:64" s="8" customFormat="1" x14ac:dyDescent="0.2">
      <c r="E825" s="85"/>
      <c r="AR825" s="10"/>
      <c r="AS825" s="10"/>
      <c r="AT825" s="10"/>
      <c r="AU825" s="10"/>
      <c r="AV825" s="10"/>
      <c r="AW825" s="10"/>
      <c r="AX825" s="10"/>
      <c r="AY825" s="10"/>
      <c r="AZ825" s="10"/>
      <c r="BA825" s="10"/>
      <c r="BB825" s="10"/>
      <c r="BC825" s="10"/>
      <c r="BD825" s="10"/>
      <c r="BE825" s="10"/>
      <c r="BF825" s="10"/>
      <c r="BG825" s="10"/>
      <c r="BH825" s="10"/>
      <c r="BI825" s="10"/>
      <c r="BJ825" s="10"/>
      <c r="BK825" s="10"/>
      <c r="BL825" s="10"/>
    </row>
    <row r="826" spans="5:64" s="8" customFormat="1" x14ac:dyDescent="0.2">
      <c r="E826" s="85"/>
      <c r="AR826" s="10"/>
      <c r="AS826" s="10"/>
      <c r="AT826" s="10"/>
      <c r="AU826" s="10"/>
      <c r="AV826" s="10"/>
      <c r="AW826" s="10"/>
      <c r="AX826" s="10"/>
      <c r="AY826" s="10"/>
      <c r="AZ826" s="10"/>
      <c r="BA826" s="10"/>
      <c r="BB826" s="10"/>
      <c r="BC826" s="10"/>
      <c r="BD826" s="10"/>
      <c r="BE826" s="10"/>
      <c r="BF826" s="10"/>
      <c r="BG826" s="10"/>
      <c r="BH826" s="10"/>
      <c r="BI826" s="10"/>
      <c r="BJ826" s="10"/>
      <c r="BK826" s="10"/>
      <c r="BL826" s="10"/>
    </row>
    <row r="827" spans="5:64" s="8" customFormat="1" x14ac:dyDescent="0.2">
      <c r="E827" s="85"/>
      <c r="AR827" s="10"/>
      <c r="AS827" s="10"/>
      <c r="AT827" s="10"/>
      <c r="AU827" s="10"/>
      <c r="AV827" s="10"/>
      <c r="AW827" s="10"/>
      <c r="AX827" s="10"/>
      <c r="AY827" s="10"/>
      <c r="AZ827" s="10"/>
      <c r="BA827" s="10"/>
      <c r="BB827" s="10"/>
      <c r="BC827" s="10"/>
      <c r="BD827" s="10"/>
      <c r="BE827" s="10"/>
      <c r="BF827" s="10"/>
      <c r="BG827" s="10"/>
      <c r="BH827" s="10"/>
      <c r="BI827" s="10"/>
      <c r="BJ827" s="10"/>
      <c r="BK827" s="10"/>
      <c r="BL827" s="10"/>
    </row>
    <row r="828" spans="5:64" s="8" customFormat="1" x14ac:dyDescent="0.2">
      <c r="E828" s="85"/>
      <c r="AR828" s="10"/>
      <c r="AS828" s="10"/>
      <c r="AT828" s="10"/>
      <c r="AU828" s="10"/>
      <c r="AV828" s="10"/>
      <c r="AW828" s="10"/>
      <c r="AX828" s="10"/>
      <c r="AY828" s="10"/>
      <c r="AZ828" s="10"/>
      <c r="BA828" s="10"/>
      <c r="BB828" s="10"/>
      <c r="BC828" s="10"/>
      <c r="BD828" s="10"/>
      <c r="BE828" s="10"/>
      <c r="BF828" s="10"/>
      <c r="BG828" s="10"/>
      <c r="BH828" s="10"/>
      <c r="BI828" s="10"/>
      <c r="BJ828" s="10"/>
      <c r="BK828" s="10"/>
      <c r="BL828" s="10"/>
    </row>
    <row r="829" spans="5:64" s="8" customFormat="1" x14ac:dyDescent="0.2">
      <c r="E829" s="85"/>
      <c r="AR829" s="10"/>
      <c r="AS829" s="10"/>
      <c r="AT829" s="10"/>
      <c r="AU829" s="10"/>
      <c r="AV829" s="10"/>
      <c r="AW829" s="10"/>
      <c r="AX829" s="10"/>
      <c r="AY829" s="10"/>
      <c r="AZ829" s="10"/>
      <c r="BA829" s="10"/>
      <c r="BB829" s="10"/>
      <c r="BC829" s="10"/>
      <c r="BD829" s="10"/>
      <c r="BE829" s="10"/>
      <c r="BF829" s="10"/>
      <c r="BG829" s="10"/>
      <c r="BH829" s="10"/>
      <c r="BI829" s="10"/>
      <c r="BJ829" s="10"/>
      <c r="BK829" s="10"/>
      <c r="BL829" s="10"/>
    </row>
    <row r="830" spans="5:64" s="8" customFormat="1" x14ac:dyDescent="0.2">
      <c r="E830" s="85"/>
      <c r="AR830" s="10"/>
      <c r="AS830" s="10"/>
      <c r="AT830" s="10"/>
      <c r="AU830" s="10"/>
      <c r="AV830" s="10"/>
      <c r="AW830" s="10"/>
      <c r="AX830" s="10"/>
      <c r="AY830" s="10"/>
      <c r="AZ830" s="10"/>
      <c r="BA830" s="10"/>
      <c r="BB830" s="10"/>
      <c r="BC830" s="10"/>
      <c r="BD830" s="10"/>
      <c r="BE830" s="10"/>
      <c r="BF830" s="10"/>
      <c r="BG830" s="10"/>
      <c r="BH830" s="10"/>
      <c r="BI830" s="10"/>
      <c r="BJ830" s="10"/>
      <c r="BK830" s="10"/>
      <c r="BL830" s="10"/>
    </row>
    <row r="831" spans="5:64" s="8" customFormat="1" x14ac:dyDescent="0.2">
      <c r="E831" s="85"/>
      <c r="AR831" s="10"/>
      <c r="AS831" s="10"/>
      <c r="AT831" s="10"/>
      <c r="AU831" s="10"/>
      <c r="AV831" s="10"/>
      <c r="AW831" s="10"/>
      <c r="AX831" s="10"/>
      <c r="AY831" s="10"/>
      <c r="AZ831" s="10"/>
      <c r="BA831" s="10"/>
      <c r="BB831" s="10"/>
      <c r="BC831" s="10"/>
      <c r="BD831" s="10"/>
      <c r="BE831" s="10"/>
      <c r="BF831" s="10"/>
      <c r="BG831" s="10"/>
      <c r="BH831" s="10"/>
      <c r="BI831" s="10"/>
      <c r="BJ831" s="10"/>
      <c r="BK831" s="10"/>
      <c r="BL831" s="10"/>
    </row>
    <row r="832" spans="5:64" s="8" customFormat="1" x14ac:dyDescent="0.2">
      <c r="E832" s="85"/>
      <c r="AR832" s="10"/>
      <c r="AS832" s="10"/>
      <c r="AT832" s="10"/>
      <c r="AU832" s="10"/>
      <c r="AV832" s="10"/>
      <c r="AW832" s="10"/>
      <c r="AX832" s="10"/>
      <c r="AY832" s="10"/>
      <c r="AZ832" s="10"/>
      <c r="BA832" s="10"/>
      <c r="BB832" s="10"/>
      <c r="BC832" s="10"/>
      <c r="BD832" s="10"/>
      <c r="BE832" s="10"/>
      <c r="BF832" s="10"/>
      <c r="BG832" s="10"/>
      <c r="BH832" s="10"/>
      <c r="BI832" s="10"/>
      <c r="BJ832" s="10"/>
      <c r="BK832" s="10"/>
      <c r="BL832" s="10"/>
    </row>
    <row r="833" spans="5:64" s="8" customFormat="1" x14ac:dyDescent="0.2">
      <c r="E833" s="85"/>
      <c r="AR833" s="10"/>
      <c r="AS833" s="10"/>
      <c r="AT833" s="10"/>
      <c r="AU833" s="10"/>
      <c r="AV833" s="10"/>
      <c r="AW833" s="10"/>
      <c r="AX833" s="10"/>
      <c r="AY833" s="10"/>
      <c r="AZ833" s="10"/>
      <c r="BA833" s="10"/>
      <c r="BB833" s="10"/>
      <c r="BC833" s="10"/>
      <c r="BD833" s="10"/>
      <c r="BE833" s="10"/>
      <c r="BF833" s="10"/>
      <c r="BG833" s="10"/>
      <c r="BH833" s="10"/>
      <c r="BI833" s="10"/>
      <c r="BJ833" s="10"/>
      <c r="BK833" s="10"/>
      <c r="BL833" s="10"/>
    </row>
    <row r="834" spans="5:64" s="8" customFormat="1" x14ac:dyDescent="0.2">
      <c r="E834" s="85"/>
      <c r="AR834" s="10"/>
      <c r="AS834" s="10"/>
      <c r="AT834" s="10"/>
      <c r="AU834" s="10"/>
      <c r="AV834" s="10"/>
      <c r="AW834" s="10"/>
      <c r="AX834" s="10"/>
      <c r="AY834" s="10"/>
      <c r="AZ834" s="10"/>
      <c r="BA834" s="10"/>
      <c r="BB834" s="10"/>
      <c r="BC834" s="10"/>
      <c r="BD834" s="10"/>
      <c r="BE834" s="10"/>
      <c r="BF834" s="10"/>
      <c r="BG834" s="10"/>
      <c r="BH834" s="10"/>
      <c r="BI834" s="10"/>
      <c r="BJ834" s="10"/>
      <c r="BK834" s="10"/>
      <c r="BL834" s="10"/>
    </row>
    <row r="835" spans="5:64" s="8" customFormat="1" x14ac:dyDescent="0.2">
      <c r="E835" s="85"/>
      <c r="AR835" s="10"/>
      <c r="AS835" s="10"/>
      <c r="AT835" s="10"/>
      <c r="AU835" s="10"/>
      <c r="AV835" s="10"/>
      <c r="AW835" s="10"/>
      <c r="AX835" s="10"/>
      <c r="AY835" s="10"/>
      <c r="AZ835" s="10"/>
      <c r="BA835" s="10"/>
      <c r="BB835" s="10"/>
      <c r="BC835" s="10"/>
      <c r="BD835" s="10"/>
      <c r="BE835" s="10"/>
      <c r="BF835" s="10"/>
      <c r="BG835" s="10"/>
      <c r="BH835" s="10"/>
      <c r="BI835" s="10"/>
      <c r="BJ835" s="10"/>
      <c r="BK835" s="10"/>
      <c r="BL835" s="10"/>
    </row>
    <row r="836" spans="5:64" s="8" customFormat="1" x14ac:dyDescent="0.2">
      <c r="E836" s="85"/>
      <c r="AR836" s="10"/>
      <c r="AS836" s="10"/>
      <c r="AT836" s="10"/>
      <c r="AU836" s="10"/>
      <c r="AV836" s="10"/>
      <c r="AW836" s="10"/>
      <c r="AX836" s="10"/>
      <c r="AY836" s="10"/>
      <c r="AZ836" s="10"/>
      <c r="BA836" s="10"/>
      <c r="BB836" s="10"/>
      <c r="BC836" s="10"/>
      <c r="BD836" s="10"/>
      <c r="BE836" s="10"/>
      <c r="BF836" s="10"/>
      <c r="BG836" s="10"/>
      <c r="BH836" s="10"/>
      <c r="BI836" s="10"/>
      <c r="BJ836" s="10"/>
      <c r="BK836" s="10"/>
      <c r="BL836" s="10"/>
    </row>
    <row r="837" spans="5:64" s="8" customFormat="1" x14ac:dyDescent="0.2">
      <c r="E837" s="85"/>
      <c r="AR837" s="10"/>
      <c r="AS837" s="10"/>
      <c r="AT837" s="10"/>
      <c r="AU837" s="10"/>
      <c r="AV837" s="10"/>
      <c r="AW837" s="10"/>
      <c r="AX837" s="10"/>
      <c r="AY837" s="10"/>
      <c r="AZ837" s="10"/>
      <c r="BA837" s="10"/>
      <c r="BB837" s="10"/>
      <c r="BC837" s="10"/>
      <c r="BD837" s="10"/>
      <c r="BE837" s="10"/>
      <c r="BF837" s="10"/>
      <c r="BG837" s="10"/>
      <c r="BH837" s="10"/>
      <c r="BI837" s="10"/>
      <c r="BJ837" s="10"/>
      <c r="BK837" s="10"/>
      <c r="BL837" s="10"/>
    </row>
    <row r="838" spans="5:64" s="8" customFormat="1" x14ac:dyDescent="0.2">
      <c r="E838" s="85"/>
      <c r="AR838" s="10"/>
      <c r="AS838" s="10"/>
      <c r="AT838" s="10"/>
      <c r="AU838" s="10"/>
      <c r="AV838" s="10"/>
      <c r="AW838" s="10"/>
      <c r="AX838" s="10"/>
      <c r="AY838" s="10"/>
      <c r="AZ838" s="10"/>
      <c r="BA838" s="10"/>
      <c r="BB838" s="10"/>
      <c r="BC838" s="10"/>
      <c r="BD838" s="10"/>
      <c r="BE838" s="10"/>
      <c r="BF838" s="10"/>
      <c r="BG838" s="10"/>
      <c r="BH838" s="10"/>
      <c r="BI838" s="10"/>
      <c r="BJ838" s="10"/>
      <c r="BK838" s="10"/>
      <c r="BL838" s="10"/>
    </row>
    <row r="839" spans="5:64" s="8" customFormat="1" x14ac:dyDescent="0.2">
      <c r="E839" s="85"/>
      <c r="AR839" s="10"/>
      <c r="AS839" s="10"/>
      <c r="AT839" s="10"/>
      <c r="AU839" s="10"/>
      <c r="AV839" s="10"/>
      <c r="AW839" s="10"/>
      <c r="AX839" s="10"/>
      <c r="AY839" s="10"/>
      <c r="AZ839" s="10"/>
      <c r="BA839" s="10"/>
      <c r="BB839" s="10"/>
      <c r="BC839" s="10"/>
      <c r="BD839" s="10"/>
      <c r="BE839" s="10"/>
      <c r="BF839" s="10"/>
      <c r="BG839" s="10"/>
      <c r="BH839" s="10"/>
      <c r="BI839" s="10"/>
      <c r="BJ839" s="10"/>
      <c r="BK839" s="10"/>
      <c r="BL839" s="10"/>
    </row>
    <row r="840" spans="5:64" s="8" customFormat="1" x14ac:dyDescent="0.2">
      <c r="E840" s="85"/>
      <c r="AR840" s="10"/>
      <c r="AS840" s="10"/>
      <c r="AT840" s="10"/>
      <c r="AU840" s="10"/>
      <c r="AV840" s="10"/>
      <c r="AW840" s="10"/>
      <c r="AX840" s="10"/>
      <c r="AY840" s="10"/>
      <c r="AZ840" s="10"/>
      <c r="BA840" s="10"/>
      <c r="BB840" s="10"/>
      <c r="BC840" s="10"/>
      <c r="BD840" s="10"/>
      <c r="BE840" s="10"/>
      <c r="BF840" s="10"/>
      <c r="BG840" s="10"/>
      <c r="BH840" s="10"/>
      <c r="BI840" s="10"/>
      <c r="BJ840" s="10"/>
      <c r="BK840" s="10"/>
      <c r="BL840" s="10"/>
    </row>
    <row r="841" spans="5:64" s="8" customFormat="1" x14ac:dyDescent="0.2">
      <c r="E841" s="85"/>
      <c r="AR841" s="10"/>
      <c r="AS841" s="10"/>
      <c r="AT841" s="10"/>
      <c r="AU841" s="10"/>
      <c r="AV841" s="10"/>
      <c r="AW841" s="10"/>
      <c r="AX841" s="10"/>
      <c r="AY841" s="10"/>
      <c r="AZ841" s="10"/>
      <c r="BA841" s="10"/>
      <c r="BB841" s="10"/>
      <c r="BC841" s="10"/>
      <c r="BD841" s="10"/>
      <c r="BE841" s="10"/>
      <c r="BF841" s="10"/>
      <c r="BG841" s="10"/>
      <c r="BH841" s="10"/>
      <c r="BI841" s="10"/>
      <c r="BJ841" s="10"/>
      <c r="BK841" s="10"/>
      <c r="BL841" s="10"/>
    </row>
    <row r="842" spans="5:64" s="8" customFormat="1" x14ac:dyDescent="0.2">
      <c r="E842" s="85"/>
      <c r="AR842" s="10"/>
      <c r="AS842" s="10"/>
      <c r="AT842" s="10"/>
      <c r="AU842" s="10"/>
      <c r="AV842" s="10"/>
      <c r="AW842" s="10"/>
      <c r="AX842" s="10"/>
      <c r="AY842" s="10"/>
      <c r="AZ842" s="10"/>
      <c r="BA842" s="10"/>
      <c r="BB842" s="10"/>
      <c r="BC842" s="10"/>
      <c r="BD842" s="10"/>
      <c r="BE842" s="10"/>
      <c r="BF842" s="10"/>
      <c r="BG842" s="10"/>
      <c r="BH842" s="10"/>
      <c r="BI842" s="10"/>
      <c r="BJ842" s="10"/>
      <c r="BK842" s="10"/>
      <c r="BL842" s="10"/>
    </row>
    <row r="843" spans="5:64" s="8" customFormat="1" x14ac:dyDescent="0.2">
      <c r="E843" s="85"/>
      <c r="AR843" s="10"/>
      <c r="AS843" s="10"/>
      <c r="AT843" s="10"/>
      <c r="AU843" s="10"/>
      <c r="AV843" s="10"/>
      <c r="AW843" s="10"/>
      <c r="AX843" s="10"/>
      <c r="AY843" s="10"/>
      <c r="AZ843" s="10"/>
      <c r="BA843" s="10"/>
      <c r="BB843" s="10"/>
      <c r="BC843" s="10"/>
      <c r="BD843" s="10"/>
      <c r="BE843" s="10"/>
      <c r="BF843" s="10"/>
      <c r="BG843" s="10"/>
      <c r="BH843" s="10"/>
      <c r="BI843" s="10"/>
      <c r="BJ843" s="10"/>
      <c r="BK843" s="10"/>
      <c r="BL843" s="10"/>
    </row>
    <row r="844" spans="5:64" s="8" customFormat="1" x14ac:dyDescent="0.2">
      <c r="E844" s="85"/>
      <c r="AR844" s="10"/>
      <c r="AS844" s="10"/>
      <c r="AT844" s="10"/>
      <c r="AU844" s="10"/>
      <c r="AV844" s="10"/>
      <c r="AW844" s="10"/>
      <c r="AX844" s="10"/>
      <c r="AY844" s="10"/>
      <c r="AZ844" s="10"/>
      <c r="BA844" s="10"/>
      <c r="BB844" s="10"/>
      <c r="BC844" s="10"/>
      <c r="BD844" s="10"/>
      <c r="BE844" s="10"/>
      <c r="BF844" s="10"/>
      <c r="BG844" s="10"/>
      <c r="BH844" s="10"/>
      <c r="BI844" s="10"/>
      <c r="BJ844" s="10"/>
      <c r="BK844" s="10"/>
      <c r="BL844" s="10"/>
    </row>
    <row r="845" spans="5:64" s="8" customFormat="1" x14ac:dyDescent="0.2">
      <c r="E845" s="85"/>
      <c r="AR845" s="10"/>
      <c r="AS845" s="10"/>
      <c r="AT845" s="10"/>
      <c r="AU845" s="10"/>
      <c r="AV845" s="10"/>
      <c r="AW845" s="10"/>
      <c r="AX845" s="10"/>
      <c r="AY845" s="10"/>
      <c r="AZ845" s="10"/>
      <c r="BA845" s="10"/>
      <c r="BB845" s="10"/>
      <c r="BC845" s="10"/>
      <c r="BD845" s="10"/>
      <c r="BE845" s="10"/>
      <c r="BF845" s="10"/>
      <c r="BG845" s="10"/>
      <c r="BH845" s="10"/>
      <c r="BI845" s="10"/>
      <c r="BJ845" s="10"/>
      <c r="BK845" s="10"/>
      <c r="BL845" s="10"/>
    </row>
    <row r="846" spans="5:64" s="8" customFormat="1" x14ac:dyDescent="0.2">
      <c r="E846" s="85"/>
      <c r="AR846" s="10"/>
      <c r="AS846" s="10"/>
      <c r="AT846" s="10"/>
      <c r="AU846" s="10"/>
      <c r="AV846" s="10"/>
      <c r="AW846" s="10"/>
      <c r="AX846" s="10"/>
      <c r="AY846" s="10"/>
      <c r="AZ846" s="10"/>
      <c r="BA846" s="10"/>
      <c r="BB846" s="10"/>
      <c r="BC846" s="10"/>
      <c r="BD846" s="10"/>
      <c r="BE846" s="10"/>
      <c r="BF846" s="10"/>
      <c r="BG846" s="10"/>
      <c r="BH846" s="10"/>
      <c r="BI846" s="10"/>
      <c r="BJ846" s="10"/>
      <c r="BK846" s="10"/>
      <c r="BL846" s="10"/>
    </row>
    <row r="847" spans="5:64" s="8" customFormat="1" x14ac:dyDescent="0.2">
      <c r="E847" s="85"/>
      <c r="AR847" s="10"/>
      <c r="AS847" s="10"/>
      <c r="AT847" s="10"/>
      <c r="AU847" s="10"/>
      <c r="AV847" s="10"/>
      <c r="AW847" s="10"/>
      <c r="AX847" s="10"/>
      <c r="AY847" s="10"/>
      <c r="AZ847" s="10"/>
      <c r="BA847" s="10"/>
      <c r="BB847" s="10"/>
      <c r="BC847" s="10"/>
      <c r="BD847" s="10"/>
      <c r="BE847" s="10"/>
      <c r="BF847" s="10"/>
      <c r="BG847" s="10"/>
      <c r="BH847" s="10"/>
      <c r="BI847" s="10"/>
      <c r="BJ847" s="10"/>
      <c r="BK847" s="10"/>
      <c r="BL847" s="10"/>
    </row>
    <row r="848" spans="5:64" s="8" customFormat="1" x14ac:dyDescent="0.2">
      <c r="E848" s="85"/>
      <c r="AR848" s="10"/>
      <c r="AS848" s="10"/>
      <c r="AT848" s="10"/>
      <c r="AU848" s="10"/>
      <c r="AV848" s="10"/>
      <c r="AW848" s="10"/>
      <c r="AX848" s="10"/>
      <c r="AY848" s="10"/>
      <c r="AZ848" s="10"/>
      <c r="BA848" s="10"/>
      <c r="BB848" s="10"/>
      <c r="BC848" s="10"/>
      <c r="BD848" s="10"/>
      <c r="BE848" s="10"/>
      <c r="BF848" s="10"/>
      <c r="BG848" s="10"/>
      <c r="BH848" s="10"/>
      <c r="BI848" s="10"/>
      <c r="BJ848" s="10"/>
      <c r="BK848" s="10"/>
      <c r="BL848" s="10"/>
    </row>
    <row r="849" spans="5:64" s="8" customFormat="1" x14ac:dyDescent="0.2">
      <c r="E849" s="85"/>
      <c r="AR849" s="10"/>
      <c r="AS849" s="10"/>
      <c r="AT849" s="10"/>
      <c r="AU849" s="10"/>
      <c r="AV849" s="10"/>
      <c r="AW849" s="10"/>
      <c r="AX849" s="10"/>
      <c r="AY849" s="10"/>
      <c r="AZ849" s="10"/>
      <c r="BA849" s="10"/>
      <c r="BB849" s="10"/>
      <c r="BC849" s="10"/>
      <c r="BD849" s="10"/>
      <c r="BE849" s="10"/>
      <c r="BF849" s="10"/>
      <c r="BG849" s="10"/>
      <c r="BH849" s="10"/>
      <c r="BI849" s="10"/>
      <c r="BJ849" s="10"/>
      <c r="BK849" s="10"/>
      <c r="BL849" s="10"/>
    </row>
    <row r="850" spans="5:64" s="8" customFormat="1" x14ac:dyDescent="0.2">
      <c r="E850" s="85"/>
      <c r="AR850" s="10"/>
      <c r="AS850" s="10"/>
      <c r="AT850" s="10"/>
      <c r="AU850" s="10"/>
      <c r="AV850" s="10"/>
      <c r="AW850" s="10"/>
      <c r="AX850" s="10"/>
      <c r="AY850" s="10"/>
      <c r="AZ850" s="10"/>
      <c r="BA850" s="10"/>
      <c r="BB850" s="10"/>
      <c r="BC850" s="10"/>
      <c r="BD850" s="10"/>
      <c r="BE850" s="10"/>
      <c r="BF850" s="10"/>
      <c r="BG850" s="10"/>
      <c r="BH850" s="10"/>
      <c r="BI850" s="10"/>
      <c r="BJ850" s="10"/>
      <c r="BK850" s="10"/>
      <c r="BL850" s="10"/>
    </row>
    <row r="851" spans="5:64" s="8" customFormat="1" x14ac:dyDescent="0.2">
      <c r="E851" s="85"/>
      <c r="AR851" s="10"/>
      <c r="AS851" s="10"/>
      <c r="AT851" s="10"/>
      <c r="AU851" s="10"/>
      <c r="AV851" s="10"/>
      <c r="AW851" s="10"/>
      <c r="AX851" s="10"/>
      <c r="AY851" s="10"/>
      <c r="AZ851" s="10"/>
      <c r="BA851" s="10"/>
      <c r="BB851" s="10"/>
      <c r="BC851" s="10"/>
      <c r="BD851" s="10"/>
      <c r="BE851" s="10"/>
      <c r="BF851" s="10"/>
      <c r="BG851" s="10"/>
      <c r="BH851" s="10"/>
      <c r="BI851" s="10"/>
      <c r="BJ851" s="10"/>
      <c r="BK851" s="10"/>
      <c r="BL851" s="10"/>
    </row>
    <row r="852" spans="5:64" s="8" customFormat="1" x14ac:dyDescent="0.2">
      <c r="E852" s="85"/>
      <c r="AR852" s="10"/>
      <c r="AS852" s="10"/>
      <c r="AT852" s="10"/>
      <c r="AU852" s="10"/>
      <c r="AV852" s="10"/>
      <c r="AW852" s="10"/>
      <c r="AX852" s="10"/>
      <c r="AY852" s="10"/>
      <c r="AZ852" s="10"/>
      <c r="BA852" s="10"/>
      <c r="BB852" s="10"/>
      <c r="BC852" s="10"/>
      <c r="BD852" s="10"/>
      <c r="BE852" s="10"/>
      <c r="BF852" s="10"/>
      <c r="BG852" s="10"/>
      <c r="BH852" s="10"/>
      <c r="BI852" s="10"/>
      <c r="BJ852" s="10"/>
      <c r="BK852" s="10"/>
      <c r="BL852" s="10"/>
    </row>
    <row r="853" spans="5:64" s="8" customFormat="1" x14ac:dyDescent="0.2">
      <c r="E853" s="85"/>
      <c r="AR853" s="10"/>
      <c r="AS853" s="10"/>
      <c r="AT853" s="10"/>
      <c r="AU853" s="10"/>
      <c r="AV853" s="10"/>
      <c r="AW853" s="10"/>
      <c r="AX853" s="10"/>
      <c r="AY853" s="10"/>
      <c r="AZ853" s="10"/>
      <c r="BA853" s="10"/>
      <c r="BB853" s="10"/>
      <c r="BC853" s="10"/>
      <c r="BD853" s="10"/>
      <c r="BE853" s="10"/>
      <c r="BF853" s="10"/>
      <c r="BG853" s="10"/>
      <c r="BH853" s="10"/>
      <c r="BI853" s="10"/>
      <c r="BJ853" s="10"/>
      <c r="BK853" s="10"/>
      <c r="BL853" s="10"/>
    </row>
    <row r="854" spans="5:64" s="8" customFormat="1" x14ac:dyDescent="0.2">
      <c r="E854" s="85"/>
      <c r="AR854" s="10"/>
      <c r="AS854" s="10"/>
      <c r="AT854" s="10"/>
      <c r="AU854" s="10"/>
      <c r="AV854" s="10"/>
      <c r="AW854" s="10"/>
      <c r="AX854" s="10"/>
      <c r="AY854" s="10"/>
      <c r="AZ854" s="10"/>
      <c r="BA854" s="10"/>
      <c r="BB854" s="10"/>
      <c r="BC854" s="10"/>
      <c r="BD854" s="10"/>
      <c r="BE854" s="10"/>
      <c r="BF854" s="10"/>
      <c r="BG854" s="10"/>
      <c r="BH854" s="10"/>
      <c r="BI854" s="10"/>
      <c r="BJ854" s="10"/>
      <c r="BK854" s="10"/>
      <c r="BL854" s="10"/>
    </row>
    <row r="855" spans="5:64" s="8" customFormat="1" x14ac:dyDescent="0.2">
      <c r="E855" s="85"/>
      <c r="AR855" s="10"/>
      <c r="AS855" s="10"/>
      <c r="AT855" s="10"/>
      <c r="AU855" s="10"/>
      <c r="AV855" s="10"/>
      <c r="AW855" s="10"/>
      <c r="AX855" s="10"/>
      <c r="AY855" s="10"/>
      <c r="AZ855" s="10"/>
      <c r="BA855" s="10"/>
      <c r="BB855" s="10"/>
      <c r="BC855" s="10"/>
      <c r="BD855" s="10"/>
      <c r="BE855" s="10"/>
      <c r="BF855" s="10"/>
      <c r="BG855" s="10"/>
      <c r="BH855" s="10"/>
      <c r="BI855" s="10"/>
      <c r="BJ855" s="10"/>
      <c r="BK855" s="10"/>
      <c r="BL855" s="10"/>
    </row>
    <row r="856" spans="5:64" s="8" customFormat="1" x14ac:dyDescent="0.2">
      <c r="E856" s="85"/>
      <c r="AR856" s="10"/>
      <c r="AS856" s="10"/>
      <c r="AT856" s="10"/>
      <c r="AU856" s="10"/>
      <c r="AV856" s="10"/>
      <c r="AW856" s="10"/>
      <c r="AX856" s="10"/>
      <c r="AY856" s="10"/>
      <c r="AZ856" s="10"/>
      <c r="BA856" s="10"/>
      <c r="BB856" s="10"/>
      <c r="BC856" s="10"/>
      <c r="BD856" s="10"/>
      <c r="BE856" s="10"/>
      <c r="BF856" s="10"/>
      <c r="BG856" s="10"/>
      <c r="BH856" s="10"/>
      <c r="BI856" s="10"/>
      <c r="BJ856" s="10"/>
      <c r="BK856" s="10"/>
      <c r="BL856" s="10"/>
    </row>
    <row r="857" spans="5:64" s="8" customFormat="1" x14ac:dyDescent="0.2">
      <c r="E857" s="85"/>
      <c r="AR857" s="10"/>
      <c r="AS857" s="10"/>
      <c r="AT857" s="10"/>
      <c r="AU857" s="10"/>
      <c r="AV857" s="10"/>
      <c r="AW857" s="10"/>
      <c r="AX857" s="10"/>
      <c r="AY857" s="10"/>
      <c r="AZ857" s="10"/>
      <c r="BA857" s="10"/>
      <c r="BB857" s="10"/>
      <c r="BC857" s="10"/>
      <c r="BD857" s="10"/>
      <c r="BE857" s="10"/>
      <c r="BF857" s="10"/>
      <c r="BG857" s="10"/>
      <c r="BH857" s="10"/>
      <c r="BI857" s="10"/>
      <c r="BJ857" s="10"/>
      <c r="BK857" s="10"/>
      <c r="BL857" s="10"/>
    </row>
    <row r="858" spans="5:64" s="8" customFormat="1" x14ac:dyDescent="0.2">
      <c r="E858" s="85"/>
      <c r="AR858" s="10"/>
      <c r="AS858" s="10"/>
      <c r="AT858" s="10"/>
      <c r="AU858" s="10"/>
      <c r="AV858" s="10"/>
      <c r="AW858" s="10"/>
      <c r="AX858" s="10"/>
      <c r="AY858" s="10"/>
      <c r="AZ858" s="10"/>
      <c r="BA858" s="10"/>
      <c r="BB858" s="10"/>
      <c r="BC858" s="10"/>
      <c r="BD858" s="10"/>
      <c r="BE858" s="10"/>
      <c r="BF858" s="10"/>
      <c r="BG858" s="10"/>
      <c r="BH858" s="10"/>
      <c r="BI858" s="10"/>
      <c r="BJ858" s="10"/>
      <c r="BK858" s="10"/>
      <c r="BL858" s="10"/>
    </row>
    <row r="859" spans="5:64" s="8" customFormat="1" x14ac:dyDescent="0.2">
      <c r="E859" s="85"/>
      <c r="AR859" s="10"/>
      <c r="AS859" s="10"/>
      <c r="AT859" s="10"/>
      <c r="AU859" s="10"/>
      <c r="AV859" s="10"/>
      <c r="AW859" s="10"/>
      <c r="AX859" s="10"/>
      <c r="AY859" s="10"/>
      <c r="AZ859" s="10"/>
      <c r="BA859" s="10"/>
      <c r="BB859" s="10"/>
      <c r="BC859" s="10"/>
      <c r="BD859" s="10"/>
      <c r="BE859" s="10"/>
      <c r="BF859" s="10"/>
      <c r="BG859" s="10"/>
      <c r="BH859" s="10"/>
      <c r="BI859" s="10"/>
      <c r="BJ859" s="10"/>
      <c r="BK859" s="10"/>
      <c r="BL859" s="10"/>
    </row>
    <row r="860" spans="5:64" s="8" customFormat="1" x14ac:dyDescent="0.2">
      <c r="E860" s="85"/>
      <c r="AR860" s="10"/>
      <c r="AS860" s="10"/>
      <c r="AT860" s="10"/>
      <c r="AU860" s="10"/>
      <c r="AV860" s="10"/>
      <c r="AW860" s="10"/>
      <c r="AX860" s="10"/>
      <c r="AY860" s="10"/>
      <c r="AZ860" s="10"/>
      <c r="BA860" s="10"/>
      <c r="BB860" s="10"/>
      <c r="BC860" s="10"/>
      <c r="BD860" s="10"/>
      <c r="BE860" s="10"/>
      <c r="BF860" s="10"/>
      <c r="BG860" s="10"/>
      <c r="BH860" s="10"/>
      <c r="BI860" s="10"/>
      <c r="BJ860" s="10"/>
      <c r="BK860" s="10"/>
      <c r="BL860" s="10"/>
    </row>
    <row r="861" spans="5:64" s="8" customFormat="1" x14ac:dyDescent="0.2">
      <c r="E861" s="85"/>
      <c r="AR861" s="10"/>
      <c r="AS861" s="10"/>
      <c r="AT861" s="10"/>
      <c r="AU861" s="10"/>
      <c r="AV861" s="10"/>
      <c r="AW861" s="10"/>
      <c r="AX861" s="10"/>
      <c r="AY861" s="10"/>
      <c r="AZ861" s="10"/>
      <c r="BA861" s="10"/>
      <c r="BB861" s="10"/>
      <c r="BC861" s="10"/>
      <c r="BD861" s="10"/>
      <c r="BE861" s="10"/>
      <c r="BF861" s="10"/>
      <c r="BG861" s="10"/>
      <c r="BH861" s="10"/>
      <c r="BI861" s="10"/>
      <c r="BJ861" s="10"/>
      <c r="BK861" s="10"/>
      <c r="BL861" s="10"/>
    </row>
    <row r="862" spans="5:64" s="8" customFormat="1" x14ac:dyDescent="0.2">
      <c r="E862" s="85"/>
      <c r="AR862" s="10"/>
      <c r="AS862" s="10"/>
      <c r="AT862" s="10"/>
      <c r="AU862" s="10"/>
      <c r="AV862" s="10"/>
      <c r="AW862" s="10"/>
      <c r="AX862" s="10"/>
      <c r="AY862" s="10"/>
      <c r="AZ862" s="10"/>
      <c r="BA862" s="10"/>
      <c r="BB862" s="10"/>
      <c r="BC862" s="10"/>
      <c r="BD862" s="10"/>
      <c r="BE862" s="10"/>
      <c r="BF862" s="10"/>
      <c r="BG862" s="10"/>
      <c r="BH862" s="10"/>
      <c r="BI862" s="10"/>
      <c r="BJ862" s="10"/>
      <c r="BK862" s="10"/>
      <c r="BL862" s="10"/>
    </row>
    <row r="863" spans="5:64" s="8" customFormat="1" x14ac:dyDescent="0.2">
      <c r="E863" s="85"/>
      <c r="AR863" s="10"/>
      <c r="AS863" s="10"/>
      <c r="AT863" s="10"/>
      <c r="AU863" s="10"/>
      <c r="AV863" s="10"/>
      <c r="AW863" s="10"/>
      <c r="AX863" s="10"/>
      <c r="AY863" s="10"/>
      <c r="AZ863" s="10"/>
      <c r="BA863" s="10"/>
      <c r="BB863" s="10"/>
      <c r="BC863" s="10"/>
      <c r="BD863" s="10"/>
      <c r="BE863" s="10"/>
      <c r="BF863" s="10"/>
      <c r="BG863" s="10"/>
      <c r="BH863" s="10"/>
      <c r="BI863" s="10"/>
      <c r="BJ863" s="10"/>
      <c r="BK863" s="10"/>
      <c r="BL863" s="10"/>
    </row>
    <row r="864" spans="5:64" s="8" customFormat="1" x14ac:dyDescent="0.2">
      <c r="E864" s="85"/>
      <c r="AR864" s="10"/>
      <c r="AS864" s="10"/>
      <c r="AT864" s="10"/>
      <c r="AU864" s="10"/>
      <c r="AV864" s="10"/>
      <c r="AW864" s="10"/>
      <c r="AX864" s="10"/>
      <c r="AY864" s="10"/>
      <c r="AZ864" s="10"/>
      <c r="BA864" s="10"/>
      <c r="BB864" s="10"/>
      <c r="BC864" s="10"/>
      <c r="BD864" s="10"/>
      <c r="BE864" s="10"/>
      <c r="BF864" s="10"/>
      <c r="BG864" s="10"/>
      <c r="BH864" s="10"/>
      <c r="BI864" s="10"/>
      <c r="BJ864" s="10"/>
      <c r="BK864" s="10"/>
      <c r="BL864" s="10"/>
    </row>
    <row r="865" spans="5:64" s="8" customFormat="1" x14ac:dyDescent="0.2">
      <c r="E865" s="85"/>
      <c r="AR865" s="10"/>
      <c r="AS865" s="10"/>
      <c r="AT865" s="10"/>
      <c r="AU865" s="10"/>
      <c r="AV865" s="10"/>
      <c r="AW865" s="10"/>
      <c r="AX865" s="10"/>
      <c r="AY865" s="10"/>
      <c r="AZ865" s="10"/>
      <c r="BA865" s="10"/>
      <c r="BB865" s="10"/>
      <c r="BC865" s="10"/>
      <c r="BD865" s="10"/>
      <c r="BE865" s="10"/>
      <c r="BF865" s="10"/>
      <c r="BG865" s="10"/>
      <c r="BH865" s="10"/>
      <c r="BI865" s="10"/>
      <c r="BJ865" s="10"/>
      <c r="BK865" s="10"/>
      <c r="BL865" s="10"/>
    </row>
    <row r="866" spans="5:64" s="8" customFormat="1" x14ac:dyDescent="0.2">
      <c r="E866" s="85"/>
      <c r="AR866" s="10"/>
      <c r="AS866" s="10"/>
      <c r="AT866" s="10"/>
      <c r="AU866" s="10"/>
      <c r="AV866" s="10"/>
      <c r="AW866" s="10"/>
      <c r="AX866" s="10"/>
      <c r="AY866" s="10"/>
      <c r="AZ866" s="10"/>
      <c r="BA866" s="10"/>
      <c r="BB866" s="10"/>
      <c r="BC866" s="10"/>
      <c r="BD866" s="10"/>
      <c r="BE866" s="10"/>
      <c r="BF866" s="10"/>
      <c r="BG866" s="10"/>
      <c r="BH866" s="10"/>
      <c r="BI866" s="10"/>
      <c r="BJ866" s="10"/>
      <c r="BK866" s="10"/>
      <c r="BL866" s="10"/>
    </row>
    <row r="867" spans="5:64" s="8" customFormat="1" x14ac:dyDescent="0.2">
      <c r="E867" s="85"/>
      <c r="AR867" s="10"/>
      <c r="AS867" s="10"/>
      <c r="AT867" s="10"/>
      <c r="AU867" s="10"/>
      <c r="AV867" s="10"/>
      <c r="AW867" s="10"/>
      <c r="AX867" s="10"/>
      <c r="AY867" s="10"/>
      <c r="AZ867" s="10"/>
      <c r="BA867" s="10"/>
      <c r="BB867" s="10"/>
      <c r="BC867" s="10"/>
      <c r="BD867" s="10"/>
      <c r="BE867" s="10"/>
      <c r="BF867" s="10"/>
      <c r="BG867" s="10"/>
      <c r="BH867" s="10"/>
      <c r="BI867" s="10"/>
      <c r="BJ867" s="10"/>
      <c r="BK867" s="10"/>
      <c r="BL867" s="10"/>
    </row>
    <row r="868" spans="5:64" s="8" customFormat="1" x14ac:dyDescent="0.2">
      <c r="E868" s="85"/>
      <c r="AR868" s="10"/>
      <c r="AS868" s="10"/>
      <c r="AT868" s="10"/>
      <c r="AU868" s="10"/>
      <c r="AV868" s="10"/>
      <c r="AW868" s="10"/>
      <c r="AX868" s="10"/>
      <c r="AY868" s="10"/>
      <c r="AZ868" s="10"/>
      <c r="BA868" s="10"/>
      <c r="BB868" s="10"/>
      <c r="BC868" s="10"/>
      <c r="BD868" s="10"/>
      <c r="BE868" s="10"/>
      <c r="BF868" s="10"/>
      <c r="BG868" s="10"/>
      <c r="BH868" s="10"/>
      <c r="BI868" s="10"/>
      <c r="BJ868" s="10"/>
      <c r="BK868" s="10"/>
      <c r="BL868" s="10"/>
    </row>
    <row r="869" spans="5:64" s="8" customFormat="1" x14ac:dyDescent="0.2">
      <c r="E869" s="85"/>
      <c r="AR869" s="10"/>
      <c r="AS869" s="10"/>
      <c r="AT869" s="10"/>
      <c r="AU869" s="10"/>
      <c r="AV869" s="10"/>
      <c r="AW869" s="10"/>
      <c r="AX869" s="10"/>
      <c r="AY869" s="10"/>
      <c r="AZ869" s="10"/>
      <c r="BA869" s="10"/>
      <c r="BB869" s="10"/>
      <c r="BC869" s="10"/>
      <c r="BD869" s="10"/>
      <c r="BE869" s="10"/>
      <c r="BF869" s="10"/>
      <c r="BG869" s="10"/>
      <c r="BH869" s="10"/>
      <c r="BI869" s="10"/>
      <c r="BJ869" s="10"/>
      <c r="BK869" s="10"/>
      <c r="BL869" s="10"/>
    </row>
    <row r="870" spans="5:64" s="8" customFormat="1" x14ac:dyDescent="0.2">
      <c r="E870" s="85"/>
      <c r="AR870" s="10"/>
      <c r="AS870" s="10"/>
      <c r="AT870" s="10"/>
      <c r="AU870" s="10"/>
      <c r="AV870" s="10"/>
      <c r="AW870" s="10"/>
      <c r="AX870" s="10"/>
      <c r="AY870" s="10"/>
      <c r="AZ870" s="10"/>
      <c r="BA870" s="10"/>
      <c r="BB870" s="10"/>
      <c r="BC870" s="10"/>
      <c r="BD870" s="10"/>
      <c r="BE870" s="10"/>
      <c r="BF870" s="10"/>
      <c r="BG870" s="10"/>
      <c r="BH870" s="10"/>
      <c r="BI870" s="10"/>
      <c r="BJ870" s="10"/>
      <c r="BK870" s="10"/>
      <c r="BL870" s="10"/>
    </row>
    <row r="871" spans="5:64" s="8" customFormat="1" x14ac:dyDescent="0.2">
      <c r="E871" s="85"/>
      <c r="AR871" s="10"/>
      <c r="AS871" s="10"/>
      <c r="AT871" s="10"/>
      <c r="AU871" s="10"/>
      <c r="AV871" s="10"/>
      <c r="AW871" s="10"/>
      <c r="AX871" s="10"/>
      <c r="AY871" s="10"/>
      <c r="AZ871" s="10"/>
      <c r="BA871" s="10"/>
      <c r="BB871" s="10"/>
      <c r="BC871" s="10"/>
      <c r="BD871" s="10"/>
      <c r="BE871" s="10"/>
      <c r="BF871" s="10"/>
      <c r="BG871" s="10"/>
      <c r="BH871" s="10"/>
      <c r="BI871" s="10"/>
      <c r="BJ871" s="10"/>
      <c r="BK871" s="10"/>
      <c r="BL871" s="10"/>
    </row>
    <row r="872" spans="5:64" s="8" customFormat="1" x14ac:dyDescent="0.2">
      <c r="E872" s="85"/>
      <c r="AR872" s="10"/>
      <c r="AS872" s="10"/>
      <c r="AT872" s="10"/>
      <c r="AU872" s="10"/>
      <c r="AV872" s="10"/>
      <c r="AW872" s="10"/>
      <c r="AX872" s="10"/>
      <c r="AY872" s="10"/>
      <c r="AZ872" s="10"/>
      <c r="BA872" s="10"/>
      <c r="BB872" s="10"/>
      <c r="BC872" s="10"/>
      <c r="BD872" s="10"/>
      <c r="BE872" s="10"/>
      <c r="BF872" s="10"/>
      <c r="BG872" s="10"/>
      <c r="BH872" s="10"/>
      <c r="BI872" s="10"/>
      <c r="BJ872" s="10"/>
      <c r="BK872" s="10"/>
      <c r="BL872" s="10"/>
    </row>
    <row r="873" spans="5:64" s="8" customFormat="1" x14ac:dyDescent="0.2">
      <c r="E873" s="85"/>
      <c r="AR873" s="10"/>
      <c r="AS873" s="10"/>
      <c r="AT873" s="10"/>
      <c r="AU873" s="10"/>
      <c r="AV873" s="10"/>
      <c r="AW873" s="10"/>
      <c r="AX873" s="10"/>
      <c r="AY873" s="10"/>
      <c r="AZ873" s="10"/>
      <c r="BA873" s="10"/>
      <c r="BB873" s="10"/>
      <c r="BC873" s="10"/>
      <c r="BD873" s="10"/>
      <c r="BE873" s="10"/>
      <c r="BF873" s="10"/>
      <c r="BG873" s="10"/>
      <c r="BH873" s="10"/>
      <c r="BI873" s="10"/>
      <c r="BJ873" s="10"/>
      <c r="BK873" s="10"/>
      <c r="BL873" s="10"/>
    </row>
    <row r="874" spans="5:64" s="8" customFormat="1" x14ac:dyDescent="0.2">
      <c r="E874" s="85"/>
      <c r="AR874" s="10"/>
      <c r="AS874" s="10"/>
      <c r="AT874" s="10"/>
      <c r="AU874" s="10"/>
      <c r="AV874" s="10"/>
      <c r="AW874" s="10"/>
      <c r="AX874" s="10"/>
      <c r="AY874" s="10"/>
      <c r="AZ874" s="10"/>
      <c r="BA874" s="10"/>
      <c r="BB874" s="10"/>
      <c r="BC874" s="10"/>
      <c r="BD874" s="10"/>
      <c r="BE874" s="10"/>
      <c r="BF874" s="10"/>
      <c r="BG874" s="10"/>
      <c r="BH874" s="10"/>
      <c r="BI874" s="10"/>
      <c r="BJ874" s="10"/>
      <c r="BK874" s="10"/>
      <c r="BL874" s="10"/>
    </row>
    <row r="875" spans="5:64" s="8" customFormat="1" x14ac:dyDescent="0.2">
      <c r="E875" s="85"/>
      <c r="AR875" s="10"/>
      <c r="AS875" s="10"/>
      <c r="AT875" s="10"/>
      <c r="AU875" s="10"/>
      <c r="AV875" s="10"/>
      <c r="AW875" s="10"/>
      <c r="AX875" s="10"/>
      <c r="AY875" s="10"/>
      <c r="AZ875" s="10"/>
      <c r="BA875" s="10"/>
      <c r="BB875" s="10"/>
      <c r="BC875" s="10"/>
      <c r="BD875" s="10"/>
      <c r="BE875" s="10"/>
      <c r="BF875" s="10"/>
      <c r="BG875" s="10"/>
      <c r="BH875" s="10"/>
      <c r="BI875" s="10"/>
      <c r="BJ875" s="10"/>
      <c r="BK875" s="10"/>
      <c r="BL875" s="10"/>
    </row>
    <row r="876" spans="5:64" s="8" customFormat="1" x14ac:dyDescent="0.2">
      <c r="E876" s="85"/>
      <c r="AR876" s="10"/>
      <c r="AS876" s="10"/>
      <c r="AT876" s="10"/>
      <c r="AU876" s="10"/>
      <c r="AV876" s="10"/>
      <c r="AW876" s="10"/>
      <c r="AX876" s="10"/>
      <c r="AY876" s="10"/>
      <c r="AZ876" s="10"/>
      <c r="BA876" s="10"/>
      <c r="BB876" s="10"/>
      <c r="BC876" s="10"/>
      <c r="BD876" s="10"/>
      <c r="BE876" s="10"/>
      <c r="BF876" s="10"/>
      <c r="BG876" s="10"/>
      <c r="BH876" s="10"/>
      <c r="BI876" s="10"/>
      <c r="BJ876" s="10"/>
      <c r="BK876" s="10"/>
      <c r="BL876" s="10"/>
    </row>
    <row r="877" spans="5:64" s="8" customFormat="1" x14ac:dyDescent="0.2">
      <c r="E877" s="85"/>
      <c r="AR877" s="10"/>
      <c r="AS877" s="10"/>
      <c r="AT877" s="10"/>
      <c r="AU877" s="10"/>
      <c r="AV877" s="10"/>
      <c r="AW877" s="10"/>
      <c r="AX877" s="10"/>
      <c r="AY877" s="10"/>
      <c r="AZ877" s="10"/>
      <c r="BA877" s="10"/>
      <c r="BB877" s="10"/>
      <c r="BC877" s="10"/>
      <c r="BD877" s="10"/>
      <c r="BE877" s="10"/>
      <c r="BF877" s="10"/>
      <c r="BG877" s="10"/>
      <c r="BH877" s="10"/>
      <c r="BI877" s="10"/>
      <c r="BJ877" s="10"/>
      <c r="BK877" s="10"/>
      <c r="BL877" s="10"/>
    </row>
    <row r="878" spans="5:64" s="8" customFormat="1" x14ac:dyDescent="0.2">
      <c r="E878" s="85"/>
      <c r="AR878" s="10"/>
      <c r="AS878" s="10"/>
      <c r="AT878" s="10"/>
      <c r="AU878" s="10"/>
      <c r="AV878" s="10"/>
      <c r="AW878" s="10"/>
      <c r="AX878" s="10"/>
      <c r="AY878" s="10"/>
      <c r="AZ878" s="10"/>
      <c r="BA878" s="10"/>
      <c r="BB878" s="10"/>
      <c r="BC878" s="10"/>
      <c r="BD878" s="10"/>
      <c r="BE878" s="10"/>
      <c r="BF878" s="10"/>
      <c r="BG878" s="10"/>
      <c r="BH878" s="10"/>
      <c r="BI878" s="10"/>
      <c r="BJ878" s="10"/>
      <c r="BK878" s="10"/>
      <c r="BL878" s="10"/>
    </row>
    <row r="879" spans="5:64" s="8" customFormat="1" x14ac:dyDescent="0.2">
      <c r="E879" s="85"/>
      <c r="AR879" s="10"/>
      <c r="AS879" s="10"/>
      <c r="AT879" s="10"/>
      <c r="AU879" s="10"/>
      <c r="AV879" s="10"/>
      <c r="AW879" s="10"/>
      <c r="AX879" s="10"/>
      <c r="AY879" s="10"/>
      <c r="AZ879" s="10"/>
      <c r="BA879" s="10"/>
      <c r="BB879" s="10"/>
      <c r="BC879" s="10"/>
      <c r="BD879" s="10"/>
      <c r="BE879" s="10"/>
      <c r="BF879" s="10"/>
      <c r="BG879" s="10"/>
      <c r="BH879" s="10"/>
      <c r="BI879" s="10"/>
      <c r="BJ879" s="10"/>
      <c r="BK879" s="10"/>
      <c r="BL879" s="10"/>
    </row>
    <row r="880" spans="5:64" s="8" customFormat="1" x14ac:dyDescent="0.2">
      <c r="E880" s="85"/>
      <c r="AR880" s="10"/>
      <c r="AS880" s="10"/>
      <c r="AT880" s="10"/>
      <c r="AU880" s="10"/>
      <c r="AV880" s="10"/>
      <c r="AW880" s="10"/>
      <c r="AX880" s="10"/>
      <c r="AY880" s="10"/>
      <c r="AZ880" s="10"/>
      <c r="BA880" s="10"/>
      <c r="BB880" s="10"/>
      <c r="BC880" s="10"/>
      <c r="BD880" s="10"/>
      <c r="BE880" s="10"/>
      <c r="BF880" s="10"/>
      <c r="BG880" s="10"/>
      <c r="BH880" s="10"/>
      <c r="BI880" s="10"/>
      <c r="BJ880" s="10"/>
      <c r="BK880" s="10"/>
      <c r="BL880" s="10"/>
    </row>
    <row r="881" spans="5:64" s="8" customFormat="1" x14ac:dyDescent="0.2">
      <c r="E881" s="85"/>
      <c r="AR881" s="10"/>
      <c r="AS881" s="10"/>
      <c r="AT881" s="10"/>
      <c r="AU881" s="10"/>
      <c r="AV881" s="10"/>
      <c r="AW881" s="10"/>
      <c r="AX881" s="10"/>
      <c r="AY881" s="10"/>
      <c r="AZ881" s="10"/>
      <c r="BA881" s="10"/>
      <c r="BB881" s="10"/>
      <c r="BC881" s="10"/>
      <c r="BD881" s="10"/>
      <c r="BE881" s="10"/>
      <c r="BF881" s="10"/>
      <c r="BG881" s="10"/>
      <c r="BH881" s="10"/>
      <c r="BI881" s="10"/>
      <c r="BJ881" s="10"/>
      <c r="BK881" s="10"/>
      <c r="BL881" s="10"/>
    </row>
    <row r="882" spans="5:64" s="8" customFormat="1" x14ac:dyDescent="0.2">
      <c r="E882" s="85"/>
      <c r="AR882" s="10"/>
      <c r="AS882" s="10"/>
      <c r="AT882" s="10"/>
      <c r="AU882" s="10"/>
      <c r="AV882" s="10"/>
      <c r="AW882" s="10"/>
      <c r="AX882" s="10"/>
      <c r="AY882" s="10"/>
      <c r="AZ882" s="10"/>
      <c r="BA882" s="10"/>
      <c r="BB882" s="10"/>
      <c r="BC882" s="10"/>
      <c r="BD882" s="10"/>
      <c r="BE882" s="10"/>
      <c r="BF882" s="10"/>
      <c r="BG882" s="10"/>
      <c r="BH882" s="10"/>
      <c r="BI882" s="10"/>
      <c r="BJ882" s="10"/>
      <c r="BK882" s="10"/>
      <c r="BL882" s="10"/>
    </row>
    <row r="883" spans="5:64" s="8" customFormat="1" x14ac:dyDescent="0.2">
      <c r="E883" s="85"/>
      <c r="AR883" s="10"/>
      <c r="AS883" s="10"/>
      <c r="AT883" s="10"/>
      <c r="AU883" s="10"/>
      <c r="AV883" s="10"/>
      <c r="AW883" s="10"/>
      <c r="AX883" s="10"/>
      <c r="AY883" s="10"/>
      <c r="AZ883" s="10"/>
      <c r="BA883" s="10"/>
      <c r="BB883" s="10"/>
      <c r="BC883" s="10"/>
      <c r="BD883" s="10"/>
      <c r="BE883" s="10"/>
      <c r="BF883" s="10"/>
      <c r="BG883" s="10"/>
      <c r="BH883" s="10"/>
      <c r="BI883" s="10"/>
      <c r="BJ883" s="10"/>
      <c r="BK883" s="10"/>
      <c r="BL883" s="10"/>
    </row>
    <row r="884" spans="5:64" s="8" customFormat="1" x14ac:dyDescent="0.2">
      <c r="E884" s="85"/>
      <c r="AR884" s="10"/>
      <c r="AS884" s="10"/>
      <c r="AT884" s="10"/>
      <c r="AU884" s="10"/>
      <c r="AV884" s="10"/>
      <c r="AW884" s="10"/>
      <c r="AX884" s="10"/>
      <c r="AY884" s="10"/>
      <c r="AZ884" s="10"/>
      <c r="BA884" s="10"/>
      <c r="BB884" s="10"/>
      <c r="BC884" s="10"/>
      <c r="BD884" s="10"/>
      <c r="BE884" s="10"/>
      <c r="BF884" s="10"/>
      <c r="BG884" s="10"/>
      <c r="BH884" s="10"/>
      <c r="BI884" s="10"/>
      <c r="BJ884" s="10"/>
      <c r="BK884" s="10"/>
      <c r="BL884" s="10"/>
    </row>
    <row r="885" spans="5:64" s="8" customFormat="1" x14ac:dyDescent="0.2">
      <c r="E885" s="85"/>
      <c r="AR885" s="10"/>
      <c r="AS885" s="10"/>
      <c r="AT885" s="10"/>
      <c r="AU885" s="10"/>
      <c r="AV885" s="10"/>
      <c r="AW885" s="10"/>
      <c r="AX885" s="10"/>
      <c r="AY885" s="10"/>
      <c r="AZ885" s="10"/>
      <c r="BA885" s="10"/>
      <c r="BB885" s="10"/>
      <c r="BC885" s="10"/>
      <c r="BD885" s="10"/>
      <c r="BE885" s="10"/>
      <c r="BF885" s="10"/>
      <c r="BG885" s="10"/>
      <c r="BH885" s="10"/>
      <c r="BI885" s="10"/>
      <c r="BJ885" s="10"/>
      <c r="BK885" s="10"/>
      <c r="BL885" s="10"/>
    </row>
    <row r="886" spans="5:64" s="8" customFormat="1" x14ac:dyDescent="0.2">
      <c r="E886" s="85"/>
      <c r="AR886" s="10"/>
      <c r="AS886" s="10"/>
      <c r="AT886" s="10"/>
      <c r="AU886" s="10"/>
      <c r="AV886" s="10"/>
      <c r="AW886" s="10"/>
      <c r="AX886" s="10"/>
      <c r="AY886" s="10"/>
      <c r="AZ886" s="10"/>
      <c r="BA886" s="10"/>
      <c r="BB886" s="10"/>
      <c r="BC886" s="10"/>
      <c r="BD886" s="10"/>
      <c r="BE886" s="10"/>
      <c r="BF886" s="10"/>
      <c r="BG886" s="10"/>
      <c r="BH886" s="10"/>
      <c r="BI886" s="10"/>
      <c r="BJ886" s="10"/>
      <c r="BK886" s="10"/>
      <c r="BL886" s="10"/>
    </row>
    <row r="887" spans="5:64" s="8" customFormat="1" x14ac:dyDescent="0.2">
      <c r="E887" s="85"/>
      <c r="AR887" s="10"/>
      <c r="AS887" s="10"/>
      <c r="AT887" s="10"/>
      <c r="AU887" s="10"/>
      <c r="AV887" s="10"/>
      <c r="AW887" s="10"/>
      <c r="AX887" s="10"/>
      <c r="AY887" s="10"/>
      <c r="AZ887" s="10"/>
      <c r="BA887" s="10"/>
      <c r="BB887" s="10"/>
      <c r="BC887" s="10"/>
      <c r="BD887" s="10"/>
      <c r="BE887" s="10"/>
      <c r="BF887" s="10"/>
      <c r="BG887" s="10"/>
      <c r="BH887" s="10"/>
      <c r="BI887" s="10"/>
      <c r="BJ887" s="10"/>
      <c r="BK887" s="10"/>
      <c r="BL887" s="10"/>
    </row>
    <row r="888" spans="5:64" s="8" customFormat="1" x14ac:dyDescent="0.2">
      <c r="E888" s="85"/>
      <c r="AR888" s="10"/>
      <c r="AS888" s="10"/>
      <c r="AT888" s="10"/>
      <c r="AU888" s="10"/>
      <c r="AV888" s="10"/>
      <c r="AW888" s="10"/>
      <c r="AX888" s="10"/>
      <c r="AY888" s="10"/>
      <c r="AZ888" s="10"/>
      <c r="BA888" s="10"/>
      <c r="BB888" s="10"/>
      <c r="BC888" s="10"/>
      <c r="BD888" s="10"/>
      <c r="BE888" s="10"/>
      <c r="BF888" s="10"/>
      <c r="BG888" s="10"/>
      <c r="BH888" s="10"/>
      <c r="BI888" s="10"/>
      <c r="BJ888" s="10"/>
      <c r="BK888" s="10"/>
      <c r="BL888" s="10"/>
    </row>
    <row r="889" spans="5:64" s="8" customFormat="1" x14ac:dyDescent="0.2">
      <c r="E889" s="85"/>
      <c r="AR889" s="10"/>
      <c r="AS889" s="10"/>
      <c r="AT889" s="10"/>
      <c r="AU889" s="10"/>
      <c r="AV889" s="10"/>
      <c r="AW889" s="10"/>
      <c r="AX889" s="10"/>
      <c r="AY889" s="10"/>
      <c r="AZ889" s="10"/>
      <c r="BA889" s="10"/>
      <c r="BB889" s="10"/>
      <c r="BC889" s="10"/>
      <c r="BD889" s="10"/>
      <c r="BE889" s="10"/>
      <c r="BF889" s="10"/>
      <c r="BG889" s="10"/>
      <c r="BH889" s="10"/>
      <c r="BI889" s="10"/>
      <c r="BJ889" s="10"/>
      <c r="BK889" s="10"/>
      <c r="BL889" s="10"/>
    </row>
    <row r="890" spans="5:64" s="8" customFormat="1" x14ac:dyDescent="0.2">
      <c r="E890" s="85"/>
      <c r="AR890" s="10"/>
      <c r="AS890" s="10"/>
      <c r="AT890" s="10"/>
      <c r="AU890" s="10"/>
      <c r="AV890" s="10"/>
      <c r="AW890" s="10"/>
      <c r="AX890" s="10"/>
      <c r="AY890" s="10"/>
      <c r="AZ890" s="10"/>
      <c r="BA890" s="10"/>
      <c r="BB890" s="10"/>
      <c r="BC890" s="10"/>
      <c r="BD890" s="10"/>
      <c r="BE890" s="10"/>
      <c r="BF890" s="10"/>
      <c r="BG890" s="10"/>
      <c r="BH890" s="10"/>
      <c r="BI890" s="10"/>
      <c r="BJ890" s="10"/>
      <c r="BK890" s="10"/>
      <c r="BL890" s="10"/>
    </row>
    <row r="891" spans="5:64" s="8" customFormat="1" x14ac:dyDescent="0.2">
      <c r="E891" s="85"/>
      <c r="AR891" s="10"/>
      <c r="AS891" s="10"/>
      <c r="AT891" s="10"/>
      <c r="AU891" s="10"/>
      <c r="AV891" s="10"/>
      <c r="AW891" s="10"/>
      <c r="AX891" s="10"/>
      <c r="AY891" s="10"/>
      <c r="AZ891" s="10"/>
      <c r="BA891" s="10"/>
      <c r="BB891" s="10"/>
      <c r="BC891" s="10"/>
      <c r="BD891" s="10"/>
      <c r="BE891" s="10"/>
      <c r="BF891" s="10"/>
      <c r="BG891" s="10"/>
      <c r="BH891" s="10"/>
      <c r="BI891" s="10"/>
      <c r="BJ891" s="10"/>
      <c r="BK891" s="10"/>
      <c r="BL891" s="10"/>
    </row>
    <row r="892" spans="5:64" s="8" customFormat="1" x14ac:dyDescent="0.2">
      <c r="E892" s="85"/>
      <c r="AR892" s="10"/>
      <c r="AS892" s="10"/>
      <c r="AT892" s="10"/>
      <c r="AU892" s="10"/>
      <c r="AV892" s="10"/>
      <c r="AW892" s="10"/>
      <c r="AX892" s="10"/>
      <c r="AY892" s="10"/>
      <c r="AZ892" s="10"/>
      <c r="BA892" s="10"/>
      <c r="BB892" s="10"/>
      <c r="BC892" s="10"/>
      <c r="BD892" s="10"/>
      <c r="BE892" s="10"/>
      <c r="BF892" s="10"/>
      <c r="BG892" s="10"/>
      <c r="BH892" s="10"/>
      <c r="BI892" s="10"/>
      <c r="BJ892" s="10"/>
      <c r="BK892" s="10"/>
      <c r="BL892" s="10"/>
    </row>
    <row r="893" spans="5:64" s="8" customFormat="1" x14ac:dyDescent="0.2">
      <c r="E893" s="85"/>
      <c r="AR893" s="10"/>
      <c r="AS893" s="10"/>
      <c r="AT893" s="10"/>
      <c r="AU893" s="10"/>
      <c r="AV893" s="10"/>
      <c r="AW893" s="10"/>
      <c r="AX893" s="10"/>
      <c r="AY893" s="10"/>
      <c r="AZ893" s="10"/>
      <c r="BA893" s="10"/>
      <c r="BB893" s="10"/>
      <c r="BC893" s="10"/>
      <c r="BD893" s="10"/>
      <c r="BE893" s="10"/>
      <c r="BF893" s="10"/>
      <c r="BG893" s="10"/>
      <c r="BH893" s="10"/>
      <c r="BI893" s="10"/>
      <c r="BJ893" s="10"/>
      <c r="BK893" s="10"/>
      <c r="BL893" s="10"/>
    </row>
    <row r="894" spans="5:64" s="8" customFormat="1" x14ac:dyDescent="0.2">
      <c r="E894" s="85"/>
      <c r="AR894" s="10"/>
      <c r="AS894" s="10"/>
      <c r="AT894" s="10"/>
      <c r="AU894" s="10"/>
      <c r="AV894" s="10"/>
      <c r="AW894" s="10"/>
      <c r="AX894" s="10"/>
      <c r="AY894" s="10"/>
      <c r="AZ894" s="10"/>
      <c r="BA894" s="10"/>
      <c r="BB894" s="10"/>
      <c r="BC894" s="10"/>
      <c r="BD894" s="10"/>
      <c r="BE894" s="10"/>
      <c r="BF894" s="10"/>
      <c r="BG894" s="10"/>
      <c r="BH894" s="10"/>
      <c r="BI894" s="10"/>
      <c r="BJ894" s="10"/>
      <c r="BK894" s="10"/>
      <c r="BL894" s="10"/>
    </row>
    <row r="895" spans="5:64" s="8" customFormat="1" x14ac:dyDescent="0.2">
      <c r="E895" s="85"/>
      <c r="AR895" s="10"/>
      <c r="AS895" s="10"/>
      <c r="AT895" s="10"/>
      <c r="AU895" s="10"/>
      <c r="AV895" s="10"/>
      <c r="AW895" s="10"/>
      <c r="AX895" s="10"/>
      <c r="AY895" s="10"/>
      <c r="AZ895" s="10"/>
      <c r="BA895" s="10"/>
      <c r="BB895" s="10"/>
      <c r="BC895" s="10"/>
      <c r="BD895" s="10"/>
      <c r="BE895" s="10"/>
      <c r="BF895" s="10"/>
      <c r="BG895" s="10"/>
      <c r="BH895" s="10"/>
      <c r="BI895" s="10"/>
      <c r="BJ895" s="10"/>
      <c r="BK895" s="10"/>
      <c r="BL895" s="10"/>
    </row>
    <row r="896" spans="5:64" s="8" customFormat="1" x14ac:dyDescent="0.2">
      <c r="E896" s="85"/>
      <c r="AR896" s="10"/>
      <c r="AS896" s="10"/>
      <c r="AT896" s="10"/>
      <c r="AU896" s="10"/>
      <c r="AV896" s="10"/>
      <c r="AW896" s="10"/>
      <c r="AX896" s="10"/>
      <c r="AY896" s="10"/>
      <c r="AZ896" s="10"/>
      <c r="BA896" s="10"/>
      <c r="BB896" s="10"/>
      <c r="BC896" s="10"/>
      <c r="BD896" s="10"/>
      <c r="BE896" s="10"/>
      <c r="BF896" s="10"/>
      <c r="BG896" s="10"/>
      <c r="BH896" s="10"/>
      <c r="BI896" s="10"/>
      <c r="BJ896" s="10"/>
      <c r="BK896" s="10"/>
      <c r="BL896" s="10"/>
    </row>
    <row r="897" spans="5:64" s="8" customFormat="1" x14ac:dyDescent="0.2">
      <c r="E897" s="85"/>
      <c r="AR897" s="10"/>
      <c r="AS897" s="10"/>
      <c r="AT897" s="10"/>
      <c r="AU897" s="10"/>
      <c r="AV897" s="10"/>
      <c r="AW897" s="10"/>
      <c r="AX897" s="10"/>
      <c r="AY897" s="10"/>
      <c r="AZ897" s="10"/>
      <c r="BA897" s="10"/>
      <c r="BB897" s="10"/>
      <c r="BC897" s="10"/>
      <c r="BD897" s="10"/>
      <c r="BE897" s="10"/>
      <c r="BF897" s="10"/>
      <c r="BG897" s="10"/>
      <c r="BH897" s="10"/>
      <c r="BI897" s="10"/>
      <c r="BJ897" s="10"/>
      <c r="BK897" s="10"/>
      <c r="BL897" s="10"/>
    </row>
    <row r="898" spans="5:64" s="8" customFormat="1" x14ac:dyDescent="0.2">
      <c r="E898" s="85"/>
      <c r="AR898" s="10"/>
      <c r="AS898" s="10"/>
      <c r="AT898" s="10"/>
      <c r="AU898" s="10"/>
      <c r="AV898" s="10"/>
      <c r="AW898" s="10"/>
      <c r="AX898" s="10"/>
      <c r="AY898" s="10"/>
      <c r="AZ898" s="10"/>
      <c r="BA898" s="10"/>
      <c r="BB898" s="10"/>
      <c r="BC898" s="10"/>
      <c r="BD898" s="10"/>
      <c r="BE898" s="10"/>
      <c r="BF898" s="10"/>
      <c r="BG898" s="10"/>
      <c r="BH898" s="10"/>
      <c r="BI898" s="10"/>
      <c r="BJ898" s="10"/>
      <c r="BK898" s="10"/>
      <c r="BL898" s="10"/>
    </row>
    <row r="899" spans="5:64" s="8" customFormat="1" x14ac:dyDescent="0.2">
      <c r="E899" s="85"/>
      <c r="AR899" s="10"/>
      <c r="AS899" s="10"/>
      <c r="AT899" s="10"/>
      <c r="AU899" s="10"/>
      <c r="AV899" s="10"/>
      <c r="AW899" s="10"/>
      <c r="AX899" s="10"/>
      <c r="AY899" s="10"/>
      <c r="AZ899" s="10"/>
      <c r="BA899" s="10"/>
      <c r="BB899" s="10"/>
      <c r="BC899" s="10"/>
      <c r="BD899" s="10"/>
      <c r="BE899" s="10"/>
      <c r="BF899" s="10"/>
      <c r="BG899" s="10"/>
      <c r="BH899" s="10"/>
      <c r="BI899" s="10"/>
      <c r="BJ899" s="10"/>
      <c r="BK899" s="10"/>
      <c r="BL899" s="10"/>
    </row>
    <row r="900" spans="5:64" s="8" customFormat="1" x14ac:dyDescent="0.2">
      <c r="E900" s="85"/>
      <c r="AR900" s="10"/>
      <c r="AS900" s="10"/>
      <c r="AT900" s="10"/>
      <c r="AU900" s="10"/>
      <c r="AV900" s="10"/>
      <c r="AW900" s="10"/>
      <c r="AX900" s="10"/>
      <c r="AY900" s="10"/>
      <c r="AZ900" s="10"/>
      <c r="BA900" s="10"/>
      <c r="BB900" s="10"/>
      <c r="BC900" s="10"/>
      <c r="BD900" s="10"/>
      <c r="BE900" s="10"/>
      <c r="BF900" s="10"/>
      <c r="BG900" s="10"/>
      <c r="BH900" s="10"/>
      <c r="BI900" s="10"/>
      <c r="BJ900" s="10"/>
      <c r="BK900" s="10"/>
      <c r="BL900" s="10"/>
    </row>
    <row r="901" spans="5:64" s="8" customFormat="1" x14ac:dyDescent="0.2">
      <c r="E901" s="85"/>
      <c r="AR901" s="10"/>
      <c r="AS901" s="10"/>
      <c r="AT901" s="10"/>
      <c r="AU901" s="10"/>
      <c r="AV901" s="10"/>
      <c r="AW901" s="10"/>
      <c r="AX901" s="10"/>
      <c r="AY901" s="10"/>
      <c r="AZ901" s="10"/>
      <c r="BA901" s="10"/>
      <c r="BB901" s="10"/>
      <c r="BC901" s="10"/>
      <c r="BD901" s="10"/>
      <c r="BE901" s="10"/>
      <c r="BF901" s="10"/>
      <c r="BG901" s="10"/>
      <c r="BH901" s="10"/>
      <c r="BI901" s="10"/>
      <c r="BJ901" s="10"/>
      <c r="BK901" s="10"/>
      <c r="BL901" s="10"/>
    </row>
    <row r="902" spans="5:64" s="8" customFormat="1" x14ac:dyDescent="0.2">
      <c r="E902" s="85"/>
      <c r="AR902" s="10"/>
      <c r="AS902" s="10"/>
      <c r="AT902" s="10"/>
      <c r="AU902" s="10"/>
      <c r="AV902" s="10"/>
      <c r="AW902" s="10"/>
      <c r="AX902" s="10"/>
      <c r="AY902" s="10"/>
      <c r="AZ902" s="10"/>
      <c r="BA902" s="10"/>
      <c r="BB902" s="10"/>
      <c r="BC902" s="10"/>
      <c r="BD902" s="10"/>
      <c r="BE902" s="10"/>
      <c r="BF902" s="10"/>
      <c r="BG902" s="10"/>
      <c r="BH902" s="10"/>
      <c r="BI902" s="10"/>
      <c r="BJ902" s="10"/>
      <c r="BK902" s="10"/>
      <c r="BL902" s="10"/>
    </row>
    <row r="903" spans="5:64" s="8" customFormat="1" x14ac:dyDescent="0.2">
      <c r="E903" s="85"/>
      <c r="AR903" s="10"/>
      <c r="AS903" s="10"/>
      <c r="AT903" s="10"/>
      <c r="AU903" s="10"/>
      <c r="AV903" s="10"/>
      <c r="AW903" s="10"/>
      <c r="AX903" s="10"/>
      <c r="AY903" s="10"/>
      <c r="AZ903" s="10"/>
      <c r="BA903" s="10"/>
      <c r="BB903" s="10"/>
      <c r="BC903" s="10"/>
      <c r="BD903" s="10"/>
      <c r="BE903" s="10"/>
      <c r="BF903" s="10"/>
      <c r="BG903" s="10"/>
      <c r="BH903" s="10"/>
      <c r="BI903" s="10"/>
      <c r="BJ903" s="10"/>
      <c r="BK903" s="10"/>
      <c r="BL903" s="10"/>
    </row>
    <row r="904" spans="5:64" s="8" customFormat="1" x14ac:dyDescent="0.2">
      <c r="E904" s="85"/>
      <c r="AR904" s="10"/>
      <c r="AS904" s="10"/>
      <c r="AT904" s="10"/>
      <c r="AU904" s="10"/>
      <c r="AV904" s="10"/>
      <c r="AW904" s="10"/>
      <c r="AX904" s="10"/>
      <c r="AY904" s="10"/>
      <c r="AZ904" s="10"/>
      <c r="BA904" s="10"/>
      <c r="BB904" s="10"/>
      <c r="BC904" s="10"/>
      <c r="BD904" s="10"/>
      <c r="BE904" s="10"/>
      <c r="BF904" s="10"/>
      <c r="BG904" s="10"/>
      <c r="BH904" s="10"/>
      <c r="BI904" s="10"/>
      <c r="BJ904" s="10"/>
      <c r="BK904" s="10"/>
      <c r="BL904" s="10"/>
    </row>
    <row r="905" spans="5:64" s="8" customFormat="1" x14ac:dyDescent="0.2">
      <c r="E905" s="85"/>
      <c r="AR905" s="10"/>
      <c r="AS905" s="10"/>
      <c r="AT905" s="10"/>
      <c r="AU905" s="10"/>
      <c r="AV905" s="10"/>
      <c r="AW905" s="10"/>
      <c r="AX905" s="10"/>
      <c r="AY905" s="10"/>
      <c r="AZ905" s="10"/>
      <c r="BA905" s="10"/>
      <c r="BB905" s="10"/>
      <c r="BC905" s="10"/>
      <c r="BD905" s="10"/>
      <c r="BE905" s="10"/>
      <c r="BF905" s="10"/>
      <c r="BG905" s="10"/>
      <c r="BH905" s="10"/>
      <c r="BI905" s="10"/>
      <c r="BJ905" s="10"/>
      <c r="BK905" s="10"/>
      <c r="BL905" s="10"/>
    </row>
    <row r="906" spans="5:64" s="8" customFormat="1" x14ac:dyDescent="0.2">
      <c r="E906" s="85"/>
      <c r="AR906" s="10"/>
      <c r="AS906" s="10"/>
      <c r="AT906" s="10"/>
      <c r="AU906" s="10"/>
      <c r="AV906" s="10"/>
      <c r="AW906" s="10"/>
      <c r="AX906" s="10"/>
      <c r="AY906" s="10"/>
      <c r="AZ906" s="10"/>
      <c r="BA906" s="10"/>
      <c r="BB906" s="10"/>
      <c r="BC906" s="10"/>
      <c r="BD906" s="10"/>
      <c r="BE906" s="10"/>
      <c r="BF906" s="10"/>
      <c r="BG906" s="10"/>
      <c r="BH906" s="10"/>
      <c r="BI906" s="10"/>
      <c r="BJ906" s="10"/>
      <c r="BK906" s="10"/>
      <c r="BL906" s="10"/>
    </row>
    <row r="907" spans="5:64" s="8" customFormat="1" x14ac:dyDescent="0.2">
      <c r="E907" s="85"/>
      <c r="AR907" s="10"/>
      <c r="AS907" s="10"/>
      <c r="AT907" s="10"/>
      <c r="AU907" s="10"/>
      <c r="AV907" s="10"/>
      <c r="AW907" s="10"/>
      <c r="AX907" s="10"/>
      <c r="AY907" s="10"/>
      <c r="AZ907" s="10"/>
      <c r="BA907" s="10"/>
      <c r="BB907" s="10"/>
      <c r="BC907" s="10"/>
      <c r="BD907" s="10"/>
      <c r="BE907" s="10"/>
      <c r="BF907" s="10"/>
      <c r="BG907" s="10"/>
      <c r="BH907" s="10"/>
      <c r="BI907" s="10"/>
      <c r="BJ907" s="10"/>
      <c r="BK907" s="10"/>
      <c r="BL907" s="10"/>
    </row>
    <row r="908" spans="5:64" s="8" customFormat="1" x14ac:dyDescent="0.2">
      <c r="E908" s="85"/>
      <c r="AR908" s="10"/>
      <c r="AS908" s="10"/>
      <c r="AT908" s="10"/>
      <c r="AU908" s="10"/>
      <c r="AV908" s="10"/>
      <c r="AW908" s="10"/>
      <c r="AX908" s="10"/>
      <c r="AY908" s="10"/>
      <c r="AZ908" s="10"/>
      <c r="BA908" s="10"/>
      <c r="BB908" s="10"/>
      <c r="BC908" s="10"/>
      <c r="BD908" s="10"/>
      <c r="BE908" s="10"/>
      <c r="BF908" s="10"/>
      <c r="BG908" s="10"/>
      <c r="BH908" s="10"/>
      <c r="BI908" s="10"/>
      <c r="BJ908" s="10"/>
      <c r="BK908" s="10"/>
      <c r="BL908" s="10"/>
    </row>
    <row r="909" spans="5:64" s="8" customFormat="1" x14ac:dyDescent="0.2">
      <c r="E909" s="85"/>
      <c r="AR909" s="10"/>
      <c r="AS909" s="10"/>
      <c r="AT909" s="10"/>
      <c r="AU909" s="10"/>
      <c r="AV909" s="10"/>
      <c r="AW909" s="10"/>
      <c r="AX909" s="10"/>
      <c r="AY909" s="10"/>
      <c r="AZ909" s="10"/>
      <c r="BA909" s="10"/>
      <c r="BB909" s="10"/>
      <c r="BC909" s="10"/>
      <c r="BD909" s="10"/>
      <c r="BE909" s="10"/>
      <c r="BF909" s="10"/>
      <c r="BG909" s="10"/>
      <c r="BH909" s="10"/>
      <c r="BI909" s="10"/>
      <c r="BJ909" s="10"/>
      <c r="BK909" s="10"/>
      <c r="BL909" s="10"/>
    </row>
    <row r="910" spans="5:64" s="8" customFormat="1" x14ac:dyDescent="0.2">
      <c r="E910" s="85"/>
      <c r="AR910" s="10"/>
      <c r="AS910" s="10"/>
      <c r="AT910" s="10"/>
      <c r="AU910" s="10"/>
      <c r="AV910" s="10"/>
      <c r="AW910" s="10"/>
      <c r="AX910" s="10"/>
      <c r="AY910" s="10"/>
      <c r="AZ910" s="10"/>
      <c r="BA910" s="10"/>
      <c r="BB910" s="10"/>
      <c r="BC910" s="10"/>
      <c r="BD910" s="10"/>
      <c r="BE910" s="10"/>
      <c r="BF910" s="10"/>
      <c r="BG910" s="10"/>
      <c r="BH910" s="10"/>
      <c r="BI910" s="10"/>
      <c r="BJ910" s="10"/>
      <c r="BK910" s="10"/>
      <c r="BL910" s="10"/>
    </row>
    <row r="911" spans="5:64" s="8" customFormat="1" x14ac:dyDescent="0.2">
      <c r="E911" s="85"/>
      <c r="AR911" s="10"/>
      <c r="AS911" s="10"/>
      <c r="AT911" s="10"/>
      <c r="AU911" s="10"/>
      <c r="AV911" s="10"/>
      <c r="AW911" s="10"/>
      <c r="AX911" s="10"/>
      <c r="AY911" s="10"/>
      <c r="AZ911" s="10"/>
      <c r="BA911" s="10"/>
      <c r="BB911" s="10"/>
      <c r="BC911" s="10"/>
      <c r="BD911" s="10"/>
      <c r="BE911" s="10"/>
      <c r="BF911" s="10"/>
      <c r="BG911" s="10"/>
      <c r="BH911" s="10"/>
      <c r="BI911" s="10"/>
      <c r="BJ911" s="10"/>
      <c r="BK911" s="10"/>
      <c r="BL911" s="10"/>
    </row>
    <row r="912" spans="5:64" s="8" customFormat="1" x14ac:dyDescent="0.2">
      <c r="E912" s="85"/>
      <c r="AR912" s="10"/>
      <c r="AS912" s="10"/>
      <c r="AT912" s="10"/>
      <c r="AU912" s="10"/>
      <c r="AV912" s="10"/>
      <c r="AW912" s="10"/>
      <c r="AX912" s="10"/>
      <c r="AY912" s="10"/>
      <c r="AZ912" s="10"/>
      <c r="BA912" s="10"/>
      <c r="BB912" s="10"/>
      <c r="BC912" s="10"/>
      <c r="BD912" s="10"/>
      <c r="BE912" s="10"/>
      <c r="BF912" s="10"/>
      <c r="BG912" s="10"/>
      <c r="BH912" s="10"/>
      <c r="BI912" s="10"/>
      <c r="BJ912" s="10"/>
      <c r="BK912" s="10"/>
      <c r="BL912" s="10"/>
    </row>
    <row r="913" spans="5:64" s="8" customFormat="1" x14ac:dyDescent="0.2">
      <c r="E913" s="85"/>
      <c r="AR913" s="10"/>
      <c r="AS913" s="10"/>
      <c r="AT913" s="10"/>
      <c r="AU913" s="10"/>
      <c r="AV913" s="10"/>
      <c r="AW913" s="10"/>
      <c r="AX913" s="10"/>
      <c r="AY913" s="10"/>
      <c r="AZ913" s="10"/>
      <c r="BA913" s="10"/>
      <c r="BB913" s="10"/>
      <c r="BC913" s="10"/>
      <c r="BD913" s="10"/>
      <c r="BE913" s="10"/>
      <c r="BF913" s="10"/>
      <c r="BG913" s="10"/>
      <c r="BH913" s="10"/>
      <c r="BI913" s="10"/>
      <c r="BJ913" s="10"/>
      <c r="BK913" s="10"/>
      <c r="BL913" s="10"/>
    </row>
    <row r="914" spans="5:64" s="8" customFormat="1" x14ac:dyDescent="0.2">
      <c r="E914" s="85"/>
      <c r="AR914" s="10"/>
      <c r="AS914" s="10"/>
      <c r="AT914" s="10"/>
      <c r="AU914" s="10"/>
      <c r="AV914" s="10"/>
      <c r="AW914" s="10"/>
      <c r="AX914" s="10"/>
      <c r="AY914" s="10"/>
      <c r="AZ914" s="10"/>
      <c r="BA914" s="10"/>
      <c r="BB914" s="10"/>
      <c r="BC914" s="10"/>
      <c r="BD914" s="10"/>
      <c r="BE914" s="10"/>
      <c r="BF914" s="10"/>
      <c r="BG914" s="10"/>
      <c r="BH914" s="10"/>
      <c r="BI914" s="10"/>
      <c r="BJ914" s="10"/>
      <c r="BK914" s="10"/>
      <c r="BL914" s="10"/>
    </row>
    <row r="915" spans="5:64" s="8" customFormat="1" x14ac:dyDescent="0.2">
      <c r="E915" s="85"/>
      <c r="AR915" s="10"/>
      <c r="AS915" s="10"/>
      <c r="AT915" s="10"/>
      <c r="AU915" s="10"/>
      <c r="AV915" s="10"/>
      <c r="AW915" s="10"/>
      <c r="AX915" s="10"/>
      <c r="AY915" s="10"/>
      <c r="AZ915" s="10"/>
      <c r="BA915" s="10"/>
      <c r="BB915" s="10"/>
      <c r="BC915" s="10"/>
      <c r="BD915" s="10"/>
      <c r="BE915" s="10"/>
      <c r="BF915" s="10"/>
      <c r="BG915" s="10"/>
      <c r="BH915" s="10"/>
      <c r="BI915" s="10"/>
      <c r="BJ915" s="10"/>
      <c r="BK915" s="10"/>
      <c r="BL915" s="10"/>
    </row>
    <row r="916" spans="5:64" s="8" customFormat="1" x14ac:dyDescent="0.2">
      <c r="E916" s="85"/>
      <c r="AR916" s="10"/>
      <c r="AS916" s="10"/>
      <c r="AT916" s="10"/>
      <c r="AU916" s="10"/>
      <c r="AV916" s="10"/>
      <c r="AW916" s="10"/>
      <c r="AX916" s="10"/>
      <c r="AY916" s="10"/>
      <c r="AZ916" s="10"/>
      <c r="BA916" s="10"/>
      <c r="BB916" s="10"/>
      <c r="BC916" s="10"/>
      <c r="BD916" s="10"/>
      <c r="BE916" s="10"/>
      <c r="BF916" s="10"/>
      <c r="BG916" s="10"/>
      <c r="BH916" s="10"/>
      <c r="BI916" s="10"/>
      <c r="BJ916" s="10"/>
      <c r="BK916" s="10"/>
      <c r="BL916" s="10"/>
    </row>
    <row r="917" spans="5:64" s="8" customFormat="1" x14ac:dyDescent="0.2">
      <c r="E917" s="85"/>
      <c r="AR917" s="10"/>
      <c r="AS917" s="10"/>
      <c r="AT917" s="10"/>
      <c r="AU917" s="10"/>
      <c r="AV917" s="10"/>
      <c r="AW917" s="10"/>
      <c r="AX917" s="10"/>
      <c r="AY917" s="10"/>
      <c r="AZ917" s="10"/>
      <c r="BA917" s="10"/>
      <c r="BB917" s="10"/>
      <c r="BC917" s="10"/>
      <c r="BD917" s="10"/>
      <c r="BE917" s="10"/>
      <c r="BF917" s="10"/>
      <c r="BG917" s="10"/>
      <c r="BH917" s="10"/>
      <c r="BI917" s="10"/>
      <c r="BJ917" s="10"/>
      <c r="BK917" s="10"/>
      <c r="BL917" s="10"/>
    </row>
    <row r="918" spans="5:64" s="8" customFormat="1" x14ac:dyDescent="0.2">
      <c r="E918" s="85"/>
      <c r="AR918" s="10"/>
      <c r="AS918" s="10"/>
      <c r="AT918" s="10"/>
      <c r="AU918" s="10"/>
      <c r="AV918" s="10"/>
      <c r="AW918" s="10"/>
      <c r="AX918" s="10"/>
      <c r="AY918" s="10"/>
      <c r="AZ918" s="10"/>
      <c r="BA918" s="10"/>
      <c r="BB918" s="10"/>
      <c r="BC918" s="10"/>
      <c r="BD918" s="10"/>
      <c r="BE918" s="10"/>
      <c r="BF918" s="10"/>
      <c r="BG918" s="10"/>
      <c r="BH918" s="10"/>
      <c r="BI918" s="10"/>
      <c r="BJ918" s="10"/>
      <c r="BK918" s="10"/>
      <c r="BL918" s="10"/>
    </row>
    <row r="919" spans="5:64" s="8" customFormat="1" x14ac:dyDescent="0.2">
      <c r="E919" s="85"/>
      <c r="AR919" s="10"/>
      <c r="AS919" s="10"/>
      <c r="AT919" s="10"/>
      <c r="AU919" s="10"/>
      <c r="AV919" s="10"/>
      <c r="AW919" s="10"/>
      <c r="AX919" s="10"/>
      <c r="AY919" s="10"/>
      <c r="AZ919" s="10"/>
      <c r="BA919" s="10"/>
      <c r="BB919" s="10"/>
      <c r="BC919" s="10"/>
      <c r="BD919" s="10"/>
      <c r="BE919" s="10"/>
      <c r="BF919" s="10"/>
      <c r="BG919" s="10"/>
      <c r="BH919" s="10"/>
      <c r="BI919" s="10"/>
      <c r="BJ919" s="10"/>
      <c r="BK919" s="10"/>
      <c r="BL919" s="10"/>
    </row>
    <row r="920" spans="5:64" s="8" customFormat="1" x14ac:dyDescent="0.2">
      <c r="E920" s="85"/>
      <c r="AR920" s="10"/>
      <c r="AS920" s="10"/>
      <c r="AT920" s="10"/>
      <c r="AU920" s="10"/>
      <c r="AV920" s="10"/>
      <c r="AW920" s="10"/>
      <c r="AX920" s="10"/>
      <c r="AY920" s="10"/>
      <c r="AZ920" s="10"/>
      <c r="BA920" s="10"/>
      <c r="BB920" s="10"/>
      <c r="BC920" s="10"/>
      <c r="BD920" s="10"/>
      <c r="BE920" s="10"/>
      <c r="BF920" s="10"/>
      <c r="BG920" s="10"/>
      <c r="BH920" s="10"/>
      <c r="BI920" s="10"/>
      <c r="BJ920" s="10"/>
      <c r="BK920" s="10"/>
      <c r="BL920" s="10"/>
    </row>
    <row r="921" spans="5:64" s="8" customFormat="1" x14ac:dyDescent="0.2">
      <c r="E921" s="85"/>
      <c r="AR921" s="10"/>
      <c r="AS921" s="10"/>
      <c r="AT921" s="10"/>
      <c r="AU921" s="10"/>
      <c r="AV921" s="10"/>
      <c r="AW921" s="10"/>
      <c r="AX921" s="10"/>
      <c r="AY921" s="10"/>
      <c r="AZ921" s="10"/>
      <c r="BA921" s="10"/>
      <c r="BB921" s="10"/>
      <c r="BC921" s="10"/>
      <c r="BD921" s="10"/>
      <c r="BE921" s="10"/>
      <c r="BF921" s="10"/>
      <c r="BG921" s="10"/>
      <c r="BH921" s="10"/>
      <c r="BI921" s="10"/>
      <c r="BJ921" s="10"/>
      <c r="BK921" s="10"/>
      <c r="BL921" s="10"/>
    </row>
    <row r="922" spans="5:64" s="8" customFormat="1" x14ac:dyDescent="0.2">
      <c r="E922" s="85"/>
      <c r="AR922" s="10"/>
      <c r="AS922" s="10"/>
      <c r="AT922" s="10"/>
      <c r="AU922" s="10"/>
      <c r="AV922" s="10"/>
      <c r="AW922" s="10"/>
      <c r="AX922" s="10"/>
      <c r="AY922" s="10"/>
      <c r="AZ922" s="10"/>
      <c r="BA922" s="10"/>
      <c r="BB922" s="10"/>
      <c r="BC922" s="10"/>
      <c r="BD922" s="10"/>
      <c r="BE922" s="10"/>
      <c r="BF922" s="10"/>
      <c r="BG922" s="10"/>
      <c r="BH922" s="10"/>
      <c r="BI922" s="10"/>
      <c r="BJ922" s="10"/>
      <c r="BK922" s="10"/>
      <c r="BL922" s="10"/>
    </row>
    <row r="923" spans="5:64" s="8" customFormat="1" x14ac:dyDescent="0.2">
      <c r="E923" s="85"/>
      <c r="AR923" s="10"/>
      <c r="AS923" s="10"/>
      <c r="AT923" s="10"/>
      <c r="AU923" s="10"/>
      <c r="AV923" s="10"/>
      <c r="AW923" s="10"/>
      <c r="AX923" s="10"/>
      <c r="AY923" s="10"/>
      <c r="AZ923" s="10"/>
      <c r="BA923" s="10"/>
      <c r="BB923" s="10"/>
      <c r="BC923" s="10"/>
      <c r="BD923" s="10"/>
      <c r="BE923" s="10"/>
      <c r="BF923" s="10"/>
      <c r="BG923" s="10"/>
      <c r="BH923" s="10"/>
      <c r="BI923" s="10"/>
      <c r="BJ923" s="10"/>
      <c r="BK923" s="10"/>
      <c r="BL923" s="10"/>
    </row>
    <row r="924" spans="5:64" s="8" customFormat="1" x14ac:dyDescent="0.2">
      <c r="E924" s="85"/>
      <c r="AR924" s="10"/>
      <c r="AS924" s="10"/>
      <c r="AT924" s="10"/>
      <c r="AU924" s="10"/>
      <c r="AV924" s="10"/>
      <c r="AW924" s="10"/>
      <c r="AX924" s="10"/>
      <c r="AY924" s="10"/>
      <c r="AZ924" s="10"/>
      <c r="BA924" s="10"/>
      <c r="BB924" s="10"/>
      <c r="BC924" s="10"/>
      <c r="BD924" s="10"/>
      <c r="BE924" s="10"/>
      <c r="BF924" s="10"/>
      <c r="BG924" s="10"/>
      <c r="BH924" s="10"/>
      <c r="BI924" s="10"/>
      <c r="BJ924" s="10"/>
      <c r="BK924" s="10"/>
      <c r="BL924" s="10"/>
    </row>
    <row r="925" spans="5:64" s="8" customFormat="1" x14ac:dyDescent="0.2">
      <c r="E925" s="85"/>
      <c r="AR925" s="10"/>
      <c r="AS925" s="10"/>
      <c r="AT925" s="10"/>
      <c r="AU925" s="10"/>
      <c r="AV925" s="10"/>
      <c r="AW925" s="10"/>
      <c r="AX925" s="10"/>
      <c r="AY925" s="10"/>
      <c r="AZ925" s="10"/>
      <c r="BA925" s="10"/>
      <c r="BB925" s="10"/>
      <c r="BC925" s="10"/>
      <c r="BD925" s="10"/>
      <c r="BE925" s="10"/>
      <c r="BF925" s="10"/>
      <c r="BG925" s="10"/>
      <c r="BH925" s="10"/>
      <c r="BI925" s="10"/>
      <c r="BJ925" s="10"/>
      <c r="BK925" s="10"/>
      <c r="BL925" s="10"/>
    </row>
    <row r="926" spans="5:64" s="8" customFormat="1" x14ac:dyDescent="0.2">
      <c r="E926" s="85"/>
      <c r="AR926" s="10"/>
      <c r="AS926" s="10"/>
      <c r="AT926" s="10"/>
      <c r="AU926" s="10"/>
      <c r="AV926" s="10"/>
      <c r="AW926" s="10"/>
      <c r="AX926" s="10"/>
      <c r="AY926" s="10"/>
      <c r="AZ926" s="10"/>
      <c r="BA926" s="10"/>
      <c r="BB926" s="10"/>
      <c r="BC926" s="10"/>
      <c r="BD926" s="10"/>
      <c r="BE926" s="10"/>
      <c r="BF926" s="10"/>
      <c r="BG926" s="10"/>
      <c r="BH926" s="10"/>
      <c r="BI926" s="10"/>
      <c r="BJ926" s="10"/>
      <c r="BK926" s="10"/>
      <c r="BL926" s="10"/>
    </row>
    <row r="927" spans="5:64" s="8" customFormat="1" x14ac:dyDescent="0.2">
      <c r="E927" s="85"/>
      <c r="AR927" s="10"/>
      <c r="AS927" s="10"/>
      <c r="AT927" s="10"/>
      <c r="AU927" s="10"/>
      <c r="AV927" s="10"/>
      <c r="AW927" s="10"/>
      <c r="AX927" s="10"/>
      <c r="AY927" s="10"/>
      <c r="AZ927" s="10"/>
      <c r="BA927" s="10"/>
      <c r="BB927" s="10"/>
      <c r="BC927" s="10"/>
      <c r="BD927" s="10"/>
      <c r="BE927" s="10"/>
      <c r="BF927" s="10"/>
      <c r="BG927" s="10"/>
      <c r="BH927" s="10"/>
      <c r="BI927" s="10"/>
      <c r="BJ927" s="10"/>
      <c r="BK927" s="10"/>
      <c r="BL927" s="10"/>
    </row>
    <row r="928" spans="5:64" s="8" customFormat="1" x14ac:dyDescent="0.2">
      <c r="E928" s="85"/>
      <c r="AR928" s="10"/>
      <c r="AS928" s="10"/>
      <c r="AT928" s="10"/>
      <c r="AU928" s="10"/>
      <c r="AV928" s="10"/>
      <c r="AW928" s="10"/>
      <c r="AX928" s="10"/>
      <c r="AY928" s="10"/>
      <c r="AZ928" s="10"/>
      <c r="BA928" s="10"/>
      <c r="BB928" s="10"/>
      <c r="BC928" s="10"/>
      <c r="BD928" s="10"/>
      <c r="BE928" s="10"/>
      <c r="BF928" s="10"/>
      <c r="BG928" s="10"/>
      <c r="BH928" s="10"/>
      <c r="BI928" s="10"/>
      <c r="BJ928" s="10"/>
      <c r="BK928" s="10"/>
      <c r="BL928" s="10"/>
    </row>
    <row r="929" spans="5:64" s="8" customFormat="1" x14ac:dyDescent="0.2">
      <c r="E929" s="85"/>
      <c r="AR929" s="10"/>
      <c r="AS929" s="10"/>
      <c r="AT929" s="10"/>
      <c r="AU929" s="10"/>
      <c r="AV929" s="10"/>
      <c r="AW929" s="10"/>
      <c r="AX929" s="10"/>
      <c r="AY929" s="10"/>
      <c r="AZ929" s="10"/>
      <c r="BA929" s="10"/>
      <c r="BB929" s="10"/>
      <c r="BC929" s="10"/>
      <c r="BD929" s="10"/>
      <c r="BE929" s="10"/>
      <c r="BF929" s="10"/>
      <c r="BG929" s="10"/>
      <c r="BH929" s="10"/>
      <c r="BI929" s="10"/>
      <c r="BJ929" s="10"/>
      <c r="BK929" s="10"/>
      <c r="BL929" s="10"/>
    </row>
    <row r="930" spans="5:64" s="8" customFormat="1" x14ac:dyDescent="0.2">
      <c r="E930" s="85"/>
      <c r="AR930" s="10"/>
      <c r="AS930" s="10"/>
      <c r="AT930" s="10"/>
      <c r="AU930" s="10"/>
      <c r="AV930" s="10"/>
      <c r="AW930" s="10"/>
      <c r="AX930" s="10"/>
      <c r="AY930" s="10"/>
      <c r="AZ930" s="10"/>
      <c r="BA930" s="10"/>
      <c r="BB930" s="10"/>
      <c r="BC930" s="10"/>
      <c r="BD930" s="10"/>
      <c r="BE930" s="10"/>
      <c r="BF930" s="10"/>
      <c r="BG930" s="10"/>
      <c r="BH930" s="10"/>
      <c r="BI930" s="10"/>
      <c r="BJ930" s="10"/>
      <c r="BK930" s="10"/>
      <c r="BL930" s="10"/>
    </row>
    <row r="931" spans="5:64" s="8" customFormat="1" x14ac:dyDescent="0.2">
      <c r="E931" s="85"/>
      <c r="AR931" s="10"/>
      <c r="AS931" s="10"/>
      <c r="AT931" s="10"/>
      <c r="AU931" s="10"/>
      <c r="AV931" s="10"/>
      <c r="AW931" s="10"/>
      <c r="AX931" s="10"/>
      <c r="AY931" s="10"/>
      <c r="AZ931" s="10"/>
      <c r="BA931" s="10"/>
      <c r="BB931" s="10"/>
      <c r="BC931" s="10"/>
      <c r="BD931" s="10"/>
      <c r="BE931" s="10"/>
      <c r="BF931" s="10"/>
      <c r="BG931" s="10"/>
      <c r="BH931" s="10"/>
      <c r="BI931" s="10"/>
      <c r="BJ931" s="10"/>
      <c r="BK931" s="10"/>
      <c r="BL931" s="10"/>
    </row>
    <row r="932" spans="5:64" s="8" customFormat="1" x14ac:dyDescent="0.2">
      <c r="E932" s="85"/>
      <c r="AR932" s="10"/>
      <c r="AS932" s="10"/>
      <c r="AT932" s="10"/>
      <c r="AU932" s="10"/>
      <c r="AV932" s="10"/>
      <c r="AW932" s="10"/>
      <c r="AX932" s="10"/>
      <c r="AY932" s="10"/>
      <c r="AZ932" s="10"/>
      <c r="BA932" s="10"/>
      <c r="BB932" s="10"/>
      <c r="BC932" s="10"/>
      <c r="BD932" s="10"/>
      <c r="BE932" s="10"/>
      <c r="BF932" s="10"/>
      <c r="BG932" s="10"/>
      <c r="BH932" s="10"/>
      <c r="BI932" s="10"/>
      <c r="BJ932" s="10"/>
      <c r="BK932" s="10"/>
      <c r="BL932" s="10"/>
    </row>
    <row r="933" spans="5:64" s="8" customFormat="1" x14ac:dyDescent="0.2">
      <c r="E933" s="85"/>
      <c r="AR933" s="10"/>
      <c r="AS933" s="10"/>
      <c r="AT933" s="10"/>
      <c r="AU933" s="10"/>
      <c r="AV933" s="10"/>
      <c r="AW933" s="10"/>
      <c r="AX933" s="10"/>
      <c r="AY933" s="10"/>
      <c r="AZ933" s="10"/>
      <c r="BA933" s="10"/>
      <c r="BB933" s="10"/>
      <c r="BC933" s="10"/>
      <c r="BD933" s="10"/>
      <c r="BE933" s="10"/>
      <c r="BF933" s="10"/>
      <c r="BG933" s="10"/>
      <c r="BH933" s="10"/>
      <c r="BI933" s="10"/>
      <c r="BJ933" s="10"/>
      <c r="BK933" s="10"/>
      <c r="BL933" s="10"/>
    </row>
    <row r="934" spans="5:64" s="8" customFormat="1" x14ac:dyDescent="0.2">
      <c r="E934" s="85"/>
      <c r="AR934" s="10"/>
      <c r="AS934" s="10"/>
      <c r="AT934" s="10"/>
      <c r="AU934" s="10"/>
      <c r="AV934" s="10"/>
      <c r="AW934" s="10"/>
      <c r="AX934" s="10"/>
      <c r="AY934" s="10"/>
      <c r="AZ934" s="10"/>
      <c r="BA934" s="10"/>
      <c r="BB934" s="10"/>
      <c r="BC934" s="10"/>
      <c r="BD934" s="10"/>
      <c r="BE934" s="10"/>
      <c r="BF934" s="10"/>
      <c r="BG934" s="10"/>
      <c r="BH934" s="10"/>
      <c r="BI934" s="10"/>
      <c r="BJ934" s="10"/>
      <c r="BK934" s="10"/>
      <c r="BL934" s="10"/>
    </row>
    <row r="935" spans="5:64" s="8" customFormat="1" x14ac:dyDescent="0.2">
      <c r="E935" s="85"/>
      <c r="AR935" s="10"/>
      <c r="AS935" s="10"/>
      <c r="AT935" s="10"/>
      <c r="AU935" s="10"/>
      <c r="AV935" s="10"/>
      <c r="AW935" s="10"/>
      <c r="AX935" s="10"/>
      <c r="AY935" s="10"/>
      <c r="AZ935" s="10"/>
      <c r="BA935" s="10"/>
      <c r="BB935" s="10"/>
      <c r="BC935" s="10"/>
      <c r="BD935" s="10"/>
      <c r="BE935" s="10"/>
      <c r="BF935" s="10"/>
      <c r="BG935" s="10"/>
      <c r="BH935" s="10"/>
      <c r="BI935" s="10"/>
      <c r="BJ935" s="10"/>
      <c r="BK935" s="10"/>
      <c r="BL935" s="10"/>
    </row>
    <row r="936" spans="5:64" s="8" customFormat="1" x14ac:dyDescent="0.2">
      <c r="E936" s="85"/>
      <c r="AR936" s="10"/>
      <c r="AS936" s="10"/>
      <c r="AT936" s="10"/>
      <c r="AU936" s="10"/>
      <c r="AV936" s="10"/>
      <c r="AW936" s="10"/>
      <c r="AX936" s="10"/>
      <c r="AY936" s="10"/>
      <c r="AZ936" s="10"/>
      <c r="BA936" s="10"/>
      <c r="BB936" s="10"/>
      <c r="BC936" s="10"/>
      <c r="BD936" s="10"/>
      <c r="BE936" s="10"/>
      <c r="BF936" s="10"/>
      <c r="BG936" s="10"/>
      <c r="BH936" s="10"/>
      <c r="BI936" s="10"/>
      <c r="BJ936" s="10"/>
      <c r="BK936" s="10"/>
      <c r="BL936" s="10"/>
    </row>
    <row r="937" spans="5:64" s="8" customFormat="1" x14ac:dyDescent="0.2">
      <c r="E937" s="85"/>
      <c r="AR937" s="10"/>
      <c r="AS937" s="10"/>
      <c r="AT937" s="10"/>
      <c r="AU937" s="10"/>
      <c r="AV937" s="10"/>
      <c r="AW937" s="10"/>
      <c r="AX937" s="10"/>
      <c r="AY937" s="10"/>
      <c r="AZ937" s="10"/>
      <c r="BA937" s="10"/>
      <c r="BB937" s="10"/>
      <c r="BC937" s="10"/>
      <c r="BD937" s="10"/>
      <c r="BE937" s="10"/>
      <c r="BF937" s="10"/>
      <c r="BG937" s="10"/>
      <c r="BH937" s="10"/>
      <c r="BI937" s="10"/>
      <c r="BJ937" s="10"/>
      <c r="BK937" s="10"/>
      <c r="BL937" s="10"/>
    </row>
    <row r="938" spans="5:64" s="8" customFormat="1" x14ac:dyDescent="0.2">
      <c r="E938" s="85"/>
      <c r="AR938" s="10"/>
      <c r="AS938" s="10"/>
      <c r="AT938" s="10"/>
      <c r="AU938" s="10"/>
      <c r="AV938" s="10"/>
      <c r="AW938" s="10"/>
      <c r="AX938" s="10"/>
      <c r="AY938" s="10"/>
      <c r="AZ938" s="10"/>
      <c r="BA938" s="10"/>
      <c r="BB938" s="10"/>
      <c r="BC938" s="10"/>
      <c r="BD938" s="10"/>
      <c r="BE938" s="10"/>
      <c r="BF938" s="10"/>
      <c r="BG938" s="10"/>
      <c r="BH938" s="10"/>
      <c r="BI938" s="10"/>
      <c r="BJ938" s="10"/>
      <c r="BK938" s="10"/>
      <c r="BL938" s="10"/>
    </row>
    <row r="939" spans="5:64" s="8" customFormat="1" x14ac:dyDescent="0.2">
      <c r="E939" s="85"/>
      <c r="AR939" s="10"/>
      <c r="AS939" s="10"/>
      <c r="AT939" s="10"/>
      <c r="AU939" s="10"/>
      <c r="AV939" s="10"/>
      <c r="AW939" s="10"/>
      <c r="AX939" s="10"/>
      <c r="AY939" s="10"/>
      <c r="AZ939" s="10"/>
      <c r="BA939" s="10"/>
      <c r="BB939" s="10"/>
      <c r="BC939" s="10"/>
      <c r="BD939" s="10"/>
      <c r="BE939" s="10"/>
      <c r="BF939" s="10"/>
      <c r="BG939" s="10"/>
      <c r="BH939" s="10"/>
      <c r="BI939" s="10"/>
      <c r="BJ939" s="10"/>
      <c r="BK939" s="10"/>
      <c r="BL939" s="10"/>
    </row>
    <row r="940" spans="5:64" s="8" customFormat="1" x14ac:dyDescent="0.2">
      <c r="E940" s="85"/>
      <c r="AR940" s="10"/>
      <c r="AS940" s="10"/>
      <c r="AT940" s="10"/>
      <c r="AU940" s="10"/>
      <c r="AV940" s="10"/>
      <c r="AW940" s="10"/>
      <c r="AX940" s="10"/>
      <c r="AY940" s="10"/>
      <c r="AZ940" s="10"/>
      <c r="BA940" s="10"/>
      <c r="BB940" s="10"/>
      <c r="BC940" s="10"/>
      <c r="BD940" s="10"/>
      <c r="BE940" s="10"/>
      <c r="BF940" s="10"/>
      <c r="BG940" s="10"/>
      <c r="BH940" s="10"/>
      <c r="BI940" s="10"/>
      <c r="BJ940" s="10"/>
      <c r="BK940" s="10"/>
      <c r="BL940" s="10"/>
    </row>
    <row r="941" spans="5:64" s="8" customFormat="1" x14ac:dyDescent="0.2">
      <c r="E941" s="85"/>
      <c r="AR941" s="10"/>
      <c r="AS941" s="10"/>
      <c r="AT941" s="10"/>
      <c r="AU941" s="10"/>
      <c r="AV941" s="10"/>
      <c r="AW941" s="10"/>
      <c r="AX941" s="10"/>
      <c r="AY941" s="10"/>
      <c r="AZ941" s="10"/>
      <c r="BA941" s="10"/>
      <c r="BB941" s="10"/>
      <c r="BC941" s="10"/>
      <c r="BD941" s="10"/>
      <c r="BE941" s="10"/>
      <c r="BF941" s="10"/>
      <c r="BG941" s="10"/>
      <c r="BH941" s="10"/>
      <c r="BI941" s="10"/>
      <c r="BJ941" s="10"/>
      <c r="BK941" s="10"/>
      <c r="BL941" s="10"/>
    </row>
    <row r="942" spans="5:64" s="8" customFormat="1" x14ac:dyDescent="0.2">
      <c r="E942" s="85"/>
      <c r="AR942" s="10"/>
      <c r="AS942" s="10"/>
      <c r="AT942" s="10"/>
      <c r="AU942" s="10"/>
      <c r="AV942" s="10"/>
      <c r="AW942" s="10"/>
      <c r="AX942" s="10"/>
      <c r="AY942" s="10"/>
      <c r="AZ942" s="10"/>
      <c r="BA942" s="10"/>
      <c r="BB942" s="10"/>
      <c r="BC942" s="10"/>
      <c r="BD942" s="10"/>
      <c r="BE942" s="10"/>
      <c r="BF942" s="10"/>
      <c r="BG942" s="10"/>
      <c r="BH942" s="10"/>
      <c r="BI942" s="10"/>
      <c r="BJ942" s="10"/>
      <c r="BK942" s="10"/>
      <c r="BL942" s="10"/>
    </row>
    <row r="943" spans="5:64" s="8" customFormat="1" x14ac:dyDescent="0.2">
      <c r="E943" s="85"/>
      <c r="AR943" s="10"/>
      <c r="AS943" s="10"/>
      <c r="AT943" s="10"/>
      <c r="AU943" s="10"/>
      <c r="AV943" s="10"/>
      <c r="AW943" s="10"/>
      <c r="AX943" s="10"/>
      <c r="AY943" s="10"/>
      <c r="AZ943" s="10"/>
      <c r="BA943" s="10"/>
      <c r="BB943" s="10"/>
      <c r="BC943" s="10"/>
      <c r="BD943" s="10"/>
      <c r="BE943" s="10"/>
      <c r="BF943" s="10"/>
      <c r="BG943" s="10"/>
      <c r="BH943" s="10"/>
      <c r="BI943" s="10"/>
      <c r="BJ943" s="10"/>
      <c r="BK943" s="10"/>
      <c r="BL943" s="10"/>
    </row>
    <row r="944" spans="5:64" s="8" customFormat="1" x14ac:dyDescent="0.2">
      <c r="E944" s="85"/>
      <c r="AR944" s="10"/>
      <c r="AS944" s="10"/>
      <c r="AT944" s="10"/>
      <c r="AU944" s="10"/>
      <c r="AV944" s="10"/>
      <c r="AW944" s="10"/>
      <c r="AX944" s="10"/>
      <c r="AY944" s="10"/>
      <c r="AZ944" s="10"/>
      <c r="BA944" s="10"/>
      <c r="BB944" s="10"/>
      <c r="BC944" s="10"/>
      <c r="BD944" s="10"/>
      <c r="BE944" s="10"/>
      <c r="BF944" s="10"/>
      <c r="BG944" s="10"/>
      <c r="BH944" s="10"/>
      <c r="BI944" s="10"/>
      <c r="BJ944" s="10"/>
      <c r="BK944" s="10"/>
      <c r="BL944" s="10"/>
    </row>
    <row r="945" spans="5:64" s="8" customFormat="1" x14ac:dyDescent="0.2">
      <c r="E945" s="85"/>
      <c r="AR945" s="10"/>
      <c r="AS945" s="10"/>
      <c r="AT945" s="10"/>
      <c r="AU945" s="10"/>
      <c r="AV945" s="10"/>
      <c r="AW945" s="10"/>
      <c r="AX945" s="10"/>
      <c r="AY945" s="10"/>
      <c r="AZ945" s="10"/>
      <c r="BA945" s="10"/>
      <c r="BB945" s="10"/>
      <c r="BC945" s="10"/>
      <c r="BD945" s="10"/>
      <c r="BE945" s="10"/>
      <c r="BF945" s="10"/>
      <c r="BG945" s="10"/>
      <c r="BH945" s="10"/>
      <c r="BI945" s="10"/>
      <c r="BJ945" s="10"/>
      <c r="BK945" s="10"/>
      <c r="BL945" s="10"/>
    </row>
    <row r="946" spans="5:64" s="8" customFormat="1" x14ac:dyDescent="0.2">
      <c r="E946" s="85"/>
      <c r="AR946" s="10"/>
      <c r="AS946" s="10"/>
      <c r="AT946" s="10"/>
      <c r="AU946" s="10"/>
      <c r="AV946" s="10"/>
      <c r="AW946" s="10"/>
      <c r="AX946" s="10"/>
      <c r="AY946" s="10"/>
      <c r="AZ946" s="10"/>
      <c r="BA946" s="10"/>
      <c r="BB946" s="10"/>
      <c r="BC946" s="10"/>
      <c r="BD946" s="10"/>
      <c r="BE946" s="10"/>
      <c r="BF946" s="10"/>
      <c r="BG946" s="10"/>
      <c r="BH946" s="10"/>
      <c r="BI946" s="10"/>
      <c r="BJ946" s="10"/>
      <c r="BK946" s="10"/>
      <c r="BL946" s="10"/>
    </row>
    <row r="947" spans="5:64" s="8" customFormat="1" x14ac:dyDescent="0.2">
      <c r="E947" s="85"/>
      <c r="AR947" s="10"/>
      <c r="AS947" s="10"/>
      <c r="AT947" s="10"/>
      <c r="AU947" s="10"/>
      <c r="AV947" s="10"/>
      <c r="AW947" s="10"/>
      <c r="AX947" s="10"/>
      <c r="AY947" s="10"/>
      <c r="AZ947" s="10"/>
      <c r="BA947" s="10"/>
      <c r="BB947" s="10"/>
      <c r="BC947" s="10"/>
      <c r="BD947" s="10"/>
      <c r="BE947" s="10"/>
      <c r="BF947" s="10"/>
      <c r="BG947" s="10"/>
      <c r="BH947" s="10"/>
      <c r="BI947" s="10"/>
      <c r="BJ947" s="10"/>
      <c r="BK947" s="10"/>
      <c r="BL947" s="10"/>
    </row>
    <row r="948" spans="5:64" s="8" customFormat="1" x14ac:dyDescent="0.2">
      <c r="E948" s="85"/>
      <c r="AR948" s="10"/>
      <c r="AS948" s="10"/>
      <c r="AT948" s="10"/>
      <c r="AU948" s="10"/>
      <c r="AV948" s="10"/>
      <c r="AW948" s="10"/>
      <c r="AX948" s="10"/>
      <c r="AY948" s="10"/>
      <c r="AZ948" s="10"/>
      <c r="BA948" s="10"/>
      <c r="BB948" s="10"/>
      <c r="BC948" s="10"/>
      <c r="BD948" s="10"/>
      <c r="BE948" s="10"/>
      <c r="BF948" s="10"/>
      <c r="BG948" s="10"/>
      <c r="BH948" s="10"/>
      <c r="BI948" s="10"/>
      <c r="BJ948" s="10"/>
      <c r="BK948" s="10"/>
      <c r="BL948" s="10"/>
    </row>
    <row r="949" spans="5:64" s="8" customFormat="1" x14ac:dyDescent="0.2">
      <c r="E949" s="85"/>
      <c r="AR949" s="10"/>
      <c r="AS949" s="10"/>
      <c r="AT949" s="10"/>
      <c r="AU949" s="10"/>
      <c r="AV949" s="10"/>
      <c r="AW949" s="10"/>
      <c r="AX949" s="10"/>
      <c r="AY949" s="10"/>
      <c r="AZ949" s="10"/>
      <c r="BA949" s="10"/>
      <c r="BB949" s="10"/>
      <c r="BC949" s="10"/>
      <c r="BD949" s="10"/>
      <c r="BE949" s="10"/>
      <c r="BF949" s="10"/>
      <c r="BG949" s="10"/>
      <c r="BH949" s="10"/>
      <c r="BI949" s="10"/>
      <c r="BJ949" s="10"/>
      <c r="BK949" s="10"/>
      <c r="BL949" s="10"/>
    </row>
    <row r="950" spans="5:64" s="8" customFormat="1" x14ac:dyDescent="0.2">
      <c r="E950" s="85"/>
      <c r="AR950" s="10"/>
      <c r="AS950" s="10"/>
      <c r="AT950" s="10"/>
      <c r="AU950" s="10"/>
      <c r="AV950" s="10"/>
      <c r="AW950" s="10"/>
      <c r="AX950" s="10"/>
      <c r="AY950" s="10"/>
      <c r="AZ950" s="10"/>
      <c r="BA950" s="10"/>
      <c r="BB950" s="10"/>
      <c r="BC950" s="10"/>
      <c r="BD950" s="10"/>
      <c r="BE950" s="10"/>
      <c r="BF950" s="10"/>
      <c r="BG950" s="10"/>
      <c r="BH950" s="10"/>
      <c r="BI950" s="10"/>
      <c r="BJ950" s="10"/>
      <c r="BK950" s="10"/>
      <c r="BL950" s="10"/>
    </row>
    <row r="951" spans="5:64" s="8" customFormat="1" x14ac:dyDescent="0.2">
      <c r="E951" s="85"/>
      <c r="AR951" s="10"/>
      <c r="AS951" s="10"/>
      <c r="AT951" s="10"/>
      <c r="AU951" s="10"/>
      <c r="AV951" s="10"/>
      <c r="AW951" s="10"/>
      <c r="AX951" s="10"/>
      <c r="AY951" s="10"/>
      <c r="AZ951" s="10"/>
      <c r="BA951" s="10"/>
      <c r="BB951" s="10"/>
      <c r="BC951" s="10"/>
      <c r="BD951" s="10"/>
      <c r="BE951" s="10"/>
      <c r="BF951" s="10"/>
      <c r="BG951" s="10"/>
      <c r="BH951" s="10"/>
      <c r="BI951" s="10"/>
      <c r="BJ951" s="10"/>
      <c r="BK951" s="10"/>
      <c r="BL951" s="10"/>
    </row>
    <row r="952" spans="5:64" s="8" customFormat="1" x14ac:dyDescent="0.2">
      <c r="E952" s="85"/>
      <c r="AR952" s="10"/>
      <c r="AS952" s="10"/>
      <c r="AT952" s="10"/>
      <c r="AU952" s="10"/>
      <c r="AV952" s="10"/>
      <c r="AW952" s="10"/>
      <c r="AX952" s="10"/>
      <c r="AY952" s="10"/>
      <c r="AZ952" s="10"/>
      <c r="BA952" s="10"/>
      <c r="BB952" s="10"/>
      <c r="BC952" s="10"/>
      <c r="BD952" s="10"/>
      <c r="BE952" s="10"/>
      <c r="BF952" s="10"/>
      <c r="BG952" s="10"/>
      <c r="BH952" s="10"/>
      <c r="BI952" s="10"/>
      <c r="BJ952" s="10"/>
      <c r="BK952" s="10"/>
      <c r="BL952" s="10"/>
    </row>
    <row r="953" spans="5:64" s="8" customFormat="1" x14ac:dyDescent="0.2">
      <c r="E953" s="85"/>
      <c r="AR953" s="10"/>
      <c r="AS953" s="10"/>
      <c r="AT953" s="10"/>
      <c r="AU953" s="10"/>
      <c r="AV953" s="10"/>
      <c r="AW953" s="10"/>
      <c r="AX953" s="10"/>
      <c r="AY953" s="10"/>
      <c r="AZ953" s="10"/>
      <c r="BA953" s="10"/>
      <c r="BB953" s="10"/>
      <c r="BC953" s="10"/>
      <c r="BD953" s="10"/>
      <c r="BE953" s="10"/>
      <c r="BF953" s="10"/>
      <c r="BG953" s="10"/>
      <c r="BH953" s="10"/>
      <c r="BI953" s="10"/>
      <c r="BJ953" s="10"/>
      <c r="BK953" s="10"/>
      <c r="BL953" s="10"/>
    </row>
    <row r="954" spans="5:64" s="8" customFormat="1" x14ac:dyDescent="0.2">
      <c r="E954" s="85"/>
      <c r="AR954" s="10"/>
      <c r="AS954" s="10"/>
      <c r="AT954" s="10"/>
      <c r="AU954" s="10"/>
      <c r="AV954" s="10"/>
      <c r="AW954" s="10"/>
      <c r="AX954" s="10"/>
      <c r="AY954" s="10"/>
      <c r="AZ954" s="10"/>
      <c r="BA954" s="10"/>
      <c r="BB954" s="10"/>
      <c r="BC954" s="10"/>
      <c r="BD954" s="10"/>
      <c r="BE954" s="10"/>
      <c r="BF954" s="10"/>
      <c r="BG954" s="10"/>
      <c r="BH954" s="10"/>
      <c r="BI954" s="10"/>
      <c r="BJ954" s="10"/>
      <c r="BK954" s="10"/>
      <c r="BL954" s="10"/>
    </row>
    <row r="955" spans="5:64" s="8" customFormat="1" x14ac:dyDescent="0.2">
      <c r="E955" s="85"/>
      <c r="AR955" s="10"/>
      <c r="AS955" s="10"/>
      <c r="AT955" s="10"/>
      <c r="AU955" s="10"/>
      <c r="AV955" s="10"/>
      <c r="AW955" s="10"/>
      <c r="AX955" s="10"/>
      <c r="AY955" s="10"/>
      <c r="AZ955" s="10"/>
      <c r="BA955" s="10"/>
      <c r="BB955" s="10"/>
      <c r="BC955" s="10"/>
      <c r="BD955" s="10"/>
      <c r="BE955" s="10"/>
      <c r="BF955" s="10"/>
      <c r="BG955" s="10"/>
      <c r="BH955" s="10"/>
      <c r="BI955" s="10"/>
      <c r="BJ955" s="10"/>
      <c r="BK955" s="10"/>
      <c r="BL955" s="10"/>
    </row>
    <row r="956" spans="5:64" s="8" customFormat="1" x14ac:dyDescent="0.2">
      <c r="E956" s="85"/>
      <c r="AR956" s="10"/>
      <c r="AS956" s="10"/>
      <c r="AT956" s="10"/>
      <c r="AU956" s="10"/>
      <c r="AV956" s="10"/>
      <c r="AW956" s="10"/>
      <c r="AX956" s="10"/>
      <c r="AY956" s="10"/>
      <c r="AZ956" s="10"/>
      <c r="BA956" s="10"/>
      <c r="BB956" s="10"/>
      <c r="BC956" s="10"/>
      <c r="BD956" s="10"/>
      <c r="BE956" s="10"/>
      <c r="BF956" s="10"/>
      <c r="BG956" s="10"/>
      <c r="BH956" s="10"/>
      <c r="BI956" s="10"/>
      <c r="BJ956" s="10"/>
      <c r="BK956" s="10"/>
      <c r="BL956" s="10"/>
    </row>
    <row r="957" spans="5:64" s="8" customFormat="1" x14ac:dyDescent="0.2">
      <c r="E957" s="85"/>
      <c r="AR957" s="10"/>
      <c r="AS957" s="10"/>
      <c r="AT957" s="10"/>
      <c r="AU957" s="10"/>
      <c r="AV957" s="10"/>
      <c r="AW957" s="10"/>
      <c r="AX957" s="10"/>
      <c r="AY957" s="10"/>
      <c r="AZ957" s="10"/>
      <c r="BA957" s="10"/>
      <c r="BB957" s="10"/>
      <c r="BC957" s="10"/>
      <c r="BD957" s="10"/>
      <c r="BE957" s="10"/>
      <c r="BF957" s="10"/>
      <c r="BG957" s="10"/>
      <c r="BH957" s="10"/>
      <c r="BI957" s="10"/>
      <c r="BJ957" s="10"/>
      <c r="BK957" s="10"/>
      <c r="BL957" s="10"/>
    </row>
    <row r="958" spans="5:64" s="8" customFormat="1" x14ac:dyDescent="0.2">
      <c r="E958" s="85"/>
      <c r="AR958" s="10"/>
      <c r="AS958" s="10"/>
      <c r="AT958" s="10"/>
      <c r="AU958" s="10"/>
      <c r="AV958" s="10"/>
      <c r="AW958" s="10"/>
      <c r="AX958" s="10"/>
      <c r="AY958" s="10"/>
      <c r="AZ958" s="10"/>
      <c r="BA958" s="10"/>
      <c r="BB958" s="10"/>
      <c r="BC958" s="10"/>
      <c r="BD958" s="10"/>
      <c r="BE958" s="10"/>
      <c r="BF958" s="10"/>
      <c r="BG958" s="10"/>
      <c r="BH958" s="10"/>
      <c r="BI958" s="10"/>
      <c r="BJ958" s="10"/>
      <c r="BK958" s="10"/>
      <c r="BL958" s="10"/>
    </row>
    <row r="959" spans="5:64" s="8" customFormat="1" x14ac:dyDescent="0.2">
      <c r="E959" s="85"/>
      <c r="AR959" s="10"/>
      <c r="AS959" s="10"/>
      <c r="AT959" s="10"/>
      <c r="AU959" s="10"/>
      <c r="AV959" s="10"/>
      <c r="AW959" s="10"/>
      <c r="AX959" s="10"/>
      <c r="AY959" s="10"/>
      <c r="AZ959" s="10"/>
      <c r="BA959" s="10"/>
      <c r="BB959" s="10"/>
      <c r="BC959" s="10"/>
      <c r="BD959" s="10"/>
      <c r="BE959" s="10"/>
      <c r="BF959" s="10"/>
      <c r="BG959" s="10"/>
      <c r="BH959" s="10"/>
      <c r="BI959" s="10"/>
      <c r="BJ959" s="10"/>
      <c r="BK959" s="10"/>
      <c r="BL959" s="10"/>
    </row>
    <row r="960" spans="5:64" s="8" customFormat="1" x14ac:dyDescent="0.2">
      <c r="E960" s="85"/>
      <c r="AR960" s="10"/>
      <c r="AS960" s="10"/>
      <c r="AT960" s="10"/>
      <c r="AU960" s="10"/>
      <c r="AV960" s="10"/>
      <c r="AW960" s="10"/>
      <c r="AX960" s="10"/>
      <c r="AY960" s="10"/>
      <c r="AZ960" s="10"/>
      <c r="BA960" s="10"/>
      <c r="BB960" s="10"/>
      <c r="BC960" s="10"/>
      <c r="BD960" s="10"/>
      <c r="BE960" s="10"/>
      <c r="BF960" s="10"/>
      <c r="BG960" s="10"/>
      <c r="BH960" s="10"/>
      <c r="BI960" s="10"/>
      <c r="BJ960" s="10"/>
      <c r="BK960" s="10"/>
      <c r="BL960" s="10"/>
    </row>
    <row r="961" spans="5:64" s="8" customFormat="1" x14ac:dyDescent="0.2">
      <c r="E961" s="85"/>
      <c r="AR961" s="10"/>
      <c r="AS961" s="10"/>
      <c r="AT961" s="10"/>
      <c r="AU961" s="10"/>
      <c r="AV961" s="10"/>
      <c r="AW961" s="10"/>
      <c r="AX961" s="10"/>
      <c r="AY961" s="10"/>
      <c r="AZ961" s="10"/>
      <c r="BA961" s="10"/>
      <c r="BB961" s="10"/>
      <c r="BC961" s="10"/>
      <c r="BD961" s="10"/>
      <c r="BE961" s="10"/>
      <c r="BF961" s="10"/>
      <c r="BG961" s="10"/>
      <c r="BH961" s="10"/>
      <c r="BI961" s="10"/>
      <c r="BJ961" s="10"/>
      <c r="BK961" s="10"/>
      <c r="BL961" s="10"/>
    </row>
    <row r="962" spans="5:64" s="8" customFormat="1" x14ac:dyDescent="0.2">
      <c r="E962" s="85"/>
      <c r="AR962" s="10"/>
      <c r="AS962" s="10"/>
      <c r="AT962" s="10"/>
      <c r="AU962" s="10"/>
      <c r="AV962" s="10"/>
      <c r="AW962" s="10"/>
      <c r="AX962" s="10"/>
      <c r="AY962" s="10"/>
      <c r="AZ962" s="10"/>
      <c r="BA962" s="10"/>
      <c r="BB962" s="10"/>
      <c r="BC962" s="10"/>
      <c r="BD962" s="10"/>
      <c r="BE962" s="10"/>
      <c r="BF962" s="10"/>
      <c r="BG962" s="10"/>
      <c r="BH962" s="10"/>
      <c r="BI962" s="10"/>
      <c r="BJ962" s="10"/>
      <c r="BK962" s="10"/>
      <c r="BL962" s="10"/>
    </row>
    <row r="963" spans="5:64" s="8" customFormat="1" x14ac:dyDescent="0.2">
      <c r="E963" s="85"/>
      <c r="AR963" s="10"/>
      <c r="AS963" s="10"/>
      <c r="AT963" s="10"/>
      <c r="AU963" s="10"/>
      <c r="AV963" s="10"/>
      <c r="AW963" s="10"/>
      <c r="AX963" s="10"/>
      <c r="AY963" s="10"/>
      <c r="AZ963" s="10"/>
      <c r="BA963" s="10"/>
      <c r="BB963" s="10"/>
      <c r="BC963" s="10"/>
      <c r="BD963" s="10"/>
      <c r="BE963" s="10"/>
      <c r="BF963" s="10"/>
      <c r="BG963" s="10"/>
      <c r="BH963" s="10"/>
      <c r="BI963" s="10"/>
      <c r="BJ963" s="10"/>
      <c r="BK963" s="10"/>
      <c r="BL963" s="10"/>
    </row>
    <row r="964" spans="5:64" s="8" customFormat="1" x14ac:dyDescent="0.2">
      <c r="E964" s="85"/>
      <c r="AR964" s="10"/>
      <c r="AS964" s="10"/>
      <c r="AT964" s="10"/>
      <c r="AU964" s="10"/>
      <c r="AV964" s="10"/>
      <c r="AW964" s="10"/>
      <c r="AX964" s="10"/>
      <c r="AY964" s="10"/>
      <c r="AZ964" s="10"/>
      <c r="BA964" s="10"/>
      <c r="BB964" s="10"/>
      <c r="BC964" s="10"/>
      <c r="BD964" s="10"/>
      <c r="BE964" s="10"/>
      <c r="BF964" s="10"/>
      <c r="BG964" s="10"/>
      <c r="BH964" s="10"/>
      <c r="BI964" s="10"/>
      <c r="BJ964" s="10"/>
      <c r="BK964" s="10"/>
      <c r="BL964" s="10"/>
    </row>
    <row r="965" spans="5:64" s="8" customFormat="1" x14ac:dyDescent="0.2">
      <c r="E965" s="85"/>
      <c r="AR965" s="10"/>
      <c r="AS965" s="10"/>
      <c r="AT965" s="10"/>
      <c r="AU965" s="10"/>
      <c r="AV965" s="10"/>
      <c r="AW965" s="10"/>
      <c r="AX965" s="10"/>
      <c r="AY965" s="10"/>
      <c r="AZ965" s="10"/>
      <c r="BA965" s="10"/>
      <c r="BB965" s="10"/>
      <c r="BC965" s="10"/>
      <c r="BD965" s="10"/>
      <c r="BE965" s="10"/>
      <c r="BF965" s="10"/>
      <c r="BG965" s="10"/>
      <c r="BH965" s="10"/>
      <c r="BI965" s="10"/>
      <c r="BJ965" s="10"/>
      <c r="BK965" s="10"/>
      <c r="BL965" s="10"/>
    </row>
    <row r="966" spans="5:64" s="8" customFormat="1" x14ac:dyDescent="0.2">
      <c r="E966" s="85"/>
      <c r="AR966" s="10"/>
      <c r="AS966" s="10"/>
      <c r="AT966" s="10"/>
      <c r="AU966" s="10"/>
      <c r="AV966" s="10"/>
      <c r="AW966" s="10"/>
      <c r="AX966" s="10"/>
      <c r="AY966" s="10"/>
      <c r="AZ966" s="10"/>
      <c r="BA966" s="10"/>
      <c r="BB966" s="10"/>
      <c r="BC966" s="10"/>
      <c r="BD966" s="10"/>
      <c r="BE966" s="10"/>
      <c r="BF966" s="10"/>
      <c r="BG966" s="10"/>
      <c r="BH966" s="10"/>
      <c r="BI966" s="10"/>
      <c r="BJ966" s="10"/>
      <c r="BK966" s="10"/>
      <c r="BL966" s="10"/>
    </row>
    <row r="967" spans="5:64" s="8" customFormat="1" x14ac:dyDescent="0.2">
      <c r="E967" s="85"/>
      <c r="AR967" s="10"/>
      <c r="AS967" s="10"/>
      <c r="AT967" s="10"/>
      <c r="AU967" s="10"/>
      <c r="AV967" s="10"/>
      <c r="AW967" s="10"/>
      <c r="AX967" s="10"/>
      <c r="AY967" s="10"/>
      <c r="AZ967" s="10"/>
      <c r="BA967" s="10"/>
      <c r="BB967" s="10"/>
      <c r="BC967" s="10"/>
      <c r="BD967" s="10"/>
      <c r="BE967" s="10"/>
      <c r="BF967" s="10"/>
      <c r="BG967" s="10"/>
      <c r="BH967" s="10"/>
      <c r="BI967" s="10"/>
      <c r="BJ967" s="10"/>
      <c r="BK967" s="10"/>
      <c r="BL967" s="10"/>
    </row>
    <row r="968" spans="5:64" s="8" customFormat="1" x14ac:dyDescent="0.2">
      <c r="E968" s="85"/>
      <c r="AR968" s="10"/>
      <c r="AS968" s="10"/>
      <c r="AT968" s="10"/>
      <c r="AU968" s="10"/>
      <c r="AV968" s="10"/>
      <c r="AW968" s="10"/>
      <c r="AX968" s="10"/>
      <c r="AY968" s="10"/>
      <c r="AZ968" s="10"/>
      <c r="BA968" s="10"/>
      <c r="BB968" s="10"/>
      <c r="BC968" s="10"/>
      <c r="BD968" s="10"/>
      <c r="BE968" s="10"/>
      <c r="BF968" s="10"/>
      <c r="BG968" s="10"/>
      <c r="BH968" s="10"/>
      <c r="BI968" s="10"/>
      <c r="BJ968" s="10"/>
      <c r="BK968" s="10"/>
      <c r="BL968" s="10"/>
    </row>
    <row r="969" spans="5:64" s="8" customFormat="1" x14ac:dyDescent="0.2">
      <c r="E969" s="85"/>
      <c r="AR969" s="10"/>
      <c r="AS969" s="10"/>
      <c r="AT969" s="10"/>
      <c r="AU969" s="10"/>
      <c r="AV969" s="10"/>
      <c r="AW969" s="10"/>
      <c r="AX969" s="10"/>
      <c r="AY969" s="10"/>
      <c r="AZ969" s="10"/>
      <c r="BA969" s="10"/>
      <c r="BB969" s="10"/>
      <c r="BC969" s="10"/>
      <c r="BD969" s="10"/>
      <c r="BE969" s="10"/>
      <c r="BF969" s="10"/>
      <c r="BG969" s="10"/>
      <c r="BH969" s="10"/>
      <c r="BI969" s="10"/>
      <c r="BJ969" s="10"/>
      <c r="BK969" s="10"/>
      <c r="BL969" s="10"/>
    </row>
    <row r="970" spans="5:64" s="8" customFormat="1" x14ac:dyDescent="0.2">
      <c r="E970" s="85"/>
      <c r="AR970" s="10"/>
      <c r="AS970" s="10"/>
      <c r="AT970" s="10"/>
      <c r="AU970" s="10"/>
      <c r="AV970" s="10"/>
      <c r="AW970" s="10"/>
      <c r="AX970" s="10"/>
      <c r="AY970" s="10"/>
      <c r="AZ970" s="10"/>
      <c r="BA970" s="10"/>
      <c r="BB970" s="10"/>
      <c r="BC970" s="10"/>
      <c r="BD970" s="10"/>
      <c r="BE970" s="10"/>
      <c r="BF970" s="10"/>
      <c r="BG970" s="10"/>
      <c r="BH970" s="10"/>
      <c r="BI970" s="10"/>
      <c r="BJ970" s="10"/>
      <c r="BK970" s="10"/>
      <c r="BL970" s="10"/>
    </row>
    <row r="971" spans="5:64" s="8" customFormat="1" x14ac:dyDescent="0.2">
      <c r="E971" s="85"/>
      <c r="AR971" s="10"/>
      <c r="AS971" s="10"/>
      <c r="AT971" s="10"/>
      <c r="AU971" s="10"/>
      <c r="AV971" s="10"/>
      <c r="AW971" s="10"/>
      <c r="AX971" s="10"/>
      <c r="AY971" s="10"/>
      <c r="AZ971" s="10"/>
      <c r="BA971" s="10"/>
      <c r="BB971" s="10"/>
      <c r="BC971" s="10"/>
      <c r="BD971" s="10"/>
      <c r="BE971" s="10"/>
      <c r="BF971" s="10"/>
      <c r="BG971" s="10"/>
      <c r="BH971" s="10"/>
      <c r="BI971" s="10"/>
      <c r="BJ971" s="10"/>
      <c r="BK971" s="10"/>
      <c r="BL971" s="10"/>
    </row>
    <row r="972" spans="5:64" s="8" customFormat="1" x14ac:dyDescent="0.2">
      <c r="E972" s="85"/>
      <c r="AR972" s="10"/>
      <c r="AS972" s="10"/>
      <c r="AT972" s="10"/>
      <c r="AU972" s="10"/>
      <c r="AV972" s="10"/>
      <c r="AW972" s="10"/>
      <c r="AX972" s="10"/>
      <c r="AY972" s="10"/>
      <c r="AZ972" s="10"/>
      <c r="BA972" s="10"/>
      <c r="BB972" s="10"/>
      <c r="BC972" s="10"/>
      <c r="BD972" s="10"/>
      <c r="BE972" s="10"/>
      <c r="BF972" s="10"/>
      <c r="BG972" s="10"/>
      <c r="BH972" s="10"/>
      <c r="BI972" s="10"/>
      <c r="BJ972" s="10"/>
      <c r="BK972" s="10"/>
      <c r="BL972" s="10"/>
    </row>
    <row r="973" spans="5:64" s="8" customFormat="1" x14ac:dyDescent="0.2">
      <c r="E973" s="85"/>
      <c r="AR973" s="10"/>
      <c r="AS973" s="10"/>
      <c r="AT973" s="10"/>
      <c r="AU973" s="10"/>
      <c r="AV973" s="10"/>
      <c r="AW973" s="10"/>
      <c r="AX973" s="10"/>
      <c r="AY973" s="10"/>
      <c r="AZ973" s="10"/>
      <c r="BA973" s="10"/>
      <c r="BB973" s="10"/>
      <c r="BC973" s="10"/>
      <c r="BD973" s="10"/>
      <c r="BE973" s="10"/>
      <c r="BF973" s="10"/>
      <c r="BG973" s="10"/>
      <c r="BH973" s="10"/>
      <c r="BI973" s="10"/>
      <c r="BJ973" s="10"/>
      <c r="BK973" s="10"/>
      <c r="BL973" s="10"/>
    </row>
    <row r="974" spans="5:64" s="8" customFormat="1" x14ac:dyDescent="0.2">
      <c r="E974" s="85"/>
      <c r="AR974" s="10"/>
      <c r="AS974" s="10"/>
      <c r="AT974" s="10"/>
      <c r="AU974" s="10"/>
      <c r="AV974" s="10"/>
      <c r="AW974" s="10"/>
      <c r="AX974" s="10"/>
      <c r="AY974" s="10"/>
      <c r="AZ974" s="10"/>
      <c r="BA974" s="10"/>
      <c r="BB974" s="10"/>
      <c r="BC974" s="10"/>
      <c r="BD974" s="10"/>
      <c r="BE974" s="10"/>
      <c r="BF974" s="10"/>
      <c r="BG974" s="10"/>
      <c r="BH974" s="10"/>
      <c r="BI974" s="10"/>
      <c r="BJ974" s="10"/>
      <c r="BK974" s="10"/>
      <c r="BL974" s="10"/>
    </row>
    <row r="975" spans="5:64" s="8" customFormat="1" x14ac:dyDescent="0.2">
      <c r="E975" s="85"/>
      <c r="AR975" s="10"/>
      <c r="AS975" s="10"/>
      <c r="AT975" s="10"/>
      <c r="AU975" s="10"/>
      <c r="AV975" s="10"/>
      <c r="AW975" s="10"/>
      <c r="AX975" s="10"/>
      <c r="AY975" s="10"/>
      <c r="AZ975" s="10"/>
      <c r="BA975" s="10"/>
      <c r="BB975" s="10"/>
      <c r="BC975" s="10"/>
      <c r="BD975" s="10"/>
      <c r="BE975" s="10"/>
      <c r="BF975" s="10"/>
      <c r="BG975" s="10"/>
      <c r="BH975" s="10"/>
      <c r="BI975" s="10"/>
      <c r="BJ975" s="10"/>
      <c r="BK975" s="10"/>
      <c r="BL975" s="10"/>
    </row>
    <row r="976" spans="5:64" s="8" customFormat="1" x14ac:dyDescent="0.2">
      <c r="E976" s="85"/>
      <c r="AR976" s="10"/>
      <c r="AS976" s="10"/>
      <c r="AT976" s="10"/>
      <c r="AU976" s="10"/>
      <c r="AV976" s="10"/>
      <c r="AW976" s="10"/>
      <c r="AX976" s="10"/>
      <c r="AY976" s="10"/>
      <c r="AZ976" s="10"/>
      <c r="BA976" s="10"/>
      <c r="BB976" s="10"/>
      <c r="BC976" s="10"/>
      <c r="BD976" s="10"/>
      <c r="BE976" s="10"/>
      <c r="BF976" s="10"/>
      <c r="BG976" s="10"/>
      <c r="BH976" s="10"/>
      <c r="BI976" s="10"/>
      <c r="BJ976" s="10"/>
      <c r="BK976" s="10"/>
      <c r="BL976" s="10"/>
    </row>
    <row r="977" spans="5:64" s="8" customFormat="1" x14ac:dyDescent="0.2">
      <c r="E977" s="85"/>
      <c r="AR977" s="10"/>
      <c r="AS977" s="10"/>
      <c r="AT977" s="10"/>
      <c r="AU977" s="10"/>
      <c r="AV977" s="10"/>
      <c r="AW977" s="10"/>
      <c r="AX977" s="10"/>
      <c r="AY977" s="10"/>
      <c r="AZ977" s="10"/>
      <c r="BA977" s="10"/>
      <c r="BB977" s="10"/>
      <c r="BC977" s="10"/>
      <c r="BD977" s="10"/>
      <c r="BE977" s="10"/>
      <c r="BF977" s="10"/>
      <c r="BG977" s="10"/>
      <c r="BH977" s="10"/>
      <c r="BI977" s="10"/>
      <c r="BJ977" s="10"/>
      <c r="BK977" s="10"/>
      <c r="BL977" s="10"/>
    </row>
    <row r="978" spans="5:64" s="8" customFormat="1" x14ac:dyDescent="0.2">
      <c r="E978" s="85"/>
      <c r="AR978" s="10"/>
      <c r="AS978" s="10"/>
      <c r="AT978" s="10"/>
      <c r="AU978" s="10"/>
      <c r="AV978" s="10"/>
      <c r="AW978" s="10"/>
      <c r="AX978" s="10"/>
      <c r="AY978" s="10"/>
      <c r="AZ978" s="10"/>
      <c r="BA978" s="10"/>
      <c r="BB978" s="10"/>
      <c r="BC978" s="10"/>
      <c r="BD978" s="10"/>
      <c r="BE978" s="10"/>
      <c r="BF978" s="10"/>
      <c r="BG978" s="10"/>
      <c r="BH978" s="10"/>
      <c r="BI978" s="10"/>
      <c r="BJ978" s="10"/>
      <c r="BK978" s="10"/>
      <c r="BL978" s="10"/>
    </row>
    <row r="979" spans="5:64" s="8" customFormat="1" x14ac:dyDescent="0.2">
      <c r="E979" s="85"/>
      <c r="AR979" s="10"/>
      <c r="AS979" s="10"/>
      <c r="AT979" s="10"/>
      <c r="AU979" s="10"/>
      <c r="AV979" s="10"/>
      <c r="AW979" s="10"/>
      <c r="AX979" s="10"/>
      <c r="AY979" s="10"/>
      <c r="AZ979" s="10"/>
      <c r="BA979" s="10"/>
      <c r="BB979" s="10"/>
      <c r="BC979" s="10"/>
      <c r="BD979" s="10"/>
      <c r="BE979" s="10"/>
      <c r="BF979" s="10"/>
      <c r="BG979" s="10"/>
      <c r="BH979" s="10"/>
      <c r="BI979" s="10"/>
      <c r="BJ979" s="10"/>
      <c r="BK979" s="10"/>
      <c r="BL979" s="10"/>
    </row>
    <row r="980" spans="5:64" s="8" customFormat="1" x14ac:dyDescent="0.2">
      <c r="E980" s="85"/>
      <c r="AR980" s="10"/>
      <c r="AS980" s="10"/>
      <c r="AT980" s="10"/>
      <c r="AU980" s="10"/>
      <c r="AV980" s="10"/>
      <c r="AW980" s="10"/>
      <c r="AX980" s="10"/>
      <c r="AY980" s="10"/>
      <c r="AZ980" s="10"/>
      <c r="BA980" s="10"/>
      <c r="BB980" s="10"/>
      <c r="BC980" s="10"/>
      <c r="BD980" s="10"/>
      <c r="BE980" s="10"/>
      <c r="BF980" s="10"/>
      <c r="BG980" s="10"/>
      <c r="BH980" s="10"/>
      <c r="BI980" s="10"/>
      <c r="BJ980" s="10"/>
      <c r="BK980" s="10"/>
      <c r="BL980" s="10"/>
    </row>
    <row r="981" spans="5:64" s="8" customFormat="1" x14ac:dyDescent="0.2">
      <c r="E981" s="85"/>
      <c r="AR981" s="10"/>
      <c r="AS981" s="10"/>
      <c r="AT981" s="10"/>
      <c r="AU981" s="10"/>
      <c r="AV981" s="10"/>
      <c r="AW981" s="10"/>
      <c r="AX981" s="10"/>
      <c r="AY981" s="10"/>
      <c r="AZ981" s="10"/>
      <c r="BA981" s="10"/>
      <c r="BB981" s="10"/>
      <c r="BC981" s="10"/>
      <c r="BD981" s="10"/>
      <c r="BE981" s="10"/>
      <c r="BF981" s="10"/>
      <c r="BG981" s="10"/>
      <c r="BH981" s="10"/>
      <c r="BI981" s="10"/>
      <c r="BJ981" s="10"/>
      <c r="BK981" s="10"/>
      <c r="BL981" s="10"/>
    </row>
    <row r="982" spans="5:64" s="8" customFormat="1" x14ac:dyDescent="0.2">
      <c r="E982" s="85"/>
      <c r="AR982" s="10"/>
      <c r="AS982" s="10"/>
      <c r="AT982" s="10"/>
      <c r="AU982" s="10"/>
      <c r="AV982" s="10"/>
      <c r="AW982" s="10"/>
      <c r="AX982" s="10"/>
      <c r="AY982" s="10"/>
      <c r="AZ982" s="10"/>
      <c r="BA982" s="10"/>
      <c r="BB982" s="10"/>
      <c r="BC982" s="10"/>
      <c r="BD982" s="10"/>
      <c r="BE982" s="10"/>
      <c r="BF982" s="10"/>
      <c r="BG982" s="10"/>
      <c r="BH982" s="10"/>
      <c r="BI982" s="10"/>
      <c r="BJ982" s="10"/>
      <c r="BK982" s="10"/>
      <c r="BL982" s="10"/>
    </row>
    <row r="983" spans="5:64" s="8" customFormat="1" x14ac:dyDescent="0.2">
      <c r="E983" s="85"/>
      <c r="AR983" s="10"/>
      <c r="AS983" s="10"/>
      <c r="AT983" s="10"/>
      <c r="AU983" s="10"/>
      <c r="AV983" s="10"/>
      <c r="AW983" s="10"/>
      <c r="AX983" s="10"/>
      <c r="AY983" s="10"/>
      <c r="AZ983" s="10"/>
      <c r="BA983" s="10"/>
      <c r="BB983" s="10"/>
      <c r="BC983" s="10"/>
      <c r="BD983" s="10"/>
      <c r="BE983" s="10"/>
      <c r="BF983" s="10"/>
      <c r="BG983" s="10"/>
      <c r="BH983" s="10"/>
      <c r="BI983" s="10"/>
      <c r="BJ983" s="10"/>
      <c r="BK983" s="10"/>
      <c r="BL983" s="10"/>
    </row>
    <row r="984" spans="5:64" s="8" customFormat="1" x14ac:dyDescent="0.2">
      <c r="E984" s="85"/>
      <c r="AR984" s="10"/>
      <c r="AS984" s="10"/>
      <c r="AT984" s="10"/>
      <c r="AU984" s="10"/>
      <c r="AV984" s="10"/>
      <c r="AW984" s="10"/>
      <c r="AX984" s="10"/>
      <c r="AY984" s="10"/>
      <c r="AZ984" s="10"/>
      <c r="BA984" s="10"/>
      <c r="BB984" s="10"/>
      <c r="BC984" s="10"/>
      <c r="BD984" s="10"/>
      <c r="BE984" s="10"/>
      <c r="BF984" s="10"/>
      <c r="BG984" s="10"/>
      <c r="BH984" s="10"/>
      <c r="BI984" s="10"/>
      <c r="BJ984" s="10"/>
      <c r="BK984" s="10"/>
      <c r="BL984" s="10"/>
    </row>
    <row r="985" spans="5:64" s="8" customFormat="1" x14ac:dyDescent="0.2">
      <c r="E985" s="85"/>
      <c r="AR985" s="10"/>
      <c r="AS985" s="10"/>
      <c r="AT985" s="10"/>
      <c r="AU985" s="10"/>
      <c r="AV985" s="10"/>
      <c r="AW985" s="10"/>
      <c r="AX985" s="10"/>
      <c r="AY985" s="10"/>
      <c r="AZ985" s="10"/>
      <c r="BA985" s="10"/>
      <c r="BB985" s="10"/>
      <c r="BC985" s="10"/>
      <c r="BD985" s="10"/>
      <c r="BE985" s="10"/>
      <c r="BF985" s="10"/>
      <c r="BG985" s="10"/>
      <c r="BH985" s="10"/>
      <c r="BI985" s="10"/>
      <c r="BJ985" s="10"/>
      <c r="BK985" s="10"/>
      <c r="BL985" s="10"/>
    </row>
    <row r="986" spans="5:64" s="8" customFormat="1" x14ac:dyDescent="0.2">
      <c r="E986" s="85"/>
      <c r="AR986" s="10"/>
      <c r="AS986" s="10"/>
      <c r="AT986" s="10"/>
      <c r="AU986" s="10"/>
      <c r="AV986" s="10"/>
      <c r="AW986" s="10"/>
      <c r="AX986" s="10"/>
      <c r="AY986" s="10"/>
      <c r="AZ986" s="10"/>
      <c r="BA986" s="10"/>
      <c r="BB986" s="10"/>
      <c r="BC986" s="10"/>
      <c r="BD986" s="10"/>
      <c r="BE986" s="10"/>
      <c r="BF986" s="10"/>
      <c r="BG986" s="10"/>
      <c r="BH986" s="10"/>
      <c r="BI986" s="10"/>
      <c r="BJ986" s="10"/>
      <c r="BK986" s="10"/>
      <c r="BL986" s="10"/>
    </row>
    <row r="987" spans="5:64" s="8" customFormat="1" x14ac:dyDescent="0.2">
      <c r="E987" s="85"/>
      <c r="AR987" s="10"/>
      <c r="AS987" s="10"/>
      <c r="AT987" s="10"/>
      <c r="AU987" s="10"/>
      <c r="AV987" s="10"/>
      <c r="AW987" s="10"/>
      <c r="AX987" s="10"/>
      <c r="AY987" s="10"/>
      <c r="AZ987" s="10"/>
      <c r="BA987" s="10"/>
      <c r="BB987" s="10"/>
      <c r="BC987" s="10"/>
      <c r="BD987" s="10"/>
      <c r="BE987" s="10"/>
      <c r="BF987" s="10"/>
      <c r="BG987" s="10"/>
      <c r="BH987" s="10"/>
      <c r="BI987" s="10"/>
      <c r="BJ987" s="10"/>
      <c r="BK987" s="10"/>
      <c r="BL987" s="10"/>
    </row>
    <row r="988" spans="5:64" s="8" customFormat="1" x14ac:dyDescent="0.2">
      <c r="E988" s="85"/>
      <c r="AR988" s="10"/>
      <c r="AS988" s="10"/>
      <c r="AT988" s="10"/>
      <c r="AU988" s="10"/>
      <c r="AV988" s="10"/>
      <c r="AW988" s="10"/>
      <c r="AX988" s="10"/>
      <c r="AY988" s="10"/>
      <c r="AZ988" s="10"/>
      <c r="BA988" s="10"/>
      <c r="BB988" s="10"/>
      <c r="BC988" s="10"/>
      <c r="BD988" s="10"/>
      <c r="BE988" s="10"/>
      <c r="BF988" s="10"/>
      <c r="BG988" s="10"/>
      <c r="BH988" s="10"/>
      <c r="BI988" s="10"/>
      <c r="BJ988" s="10"/>
      <c r="BK988" s="10"/>
      <c r="BL988" s="10"/>
    </row>
    <row r="989" spans="5:64" s="8" customFormat="1" x14ac:dyDescent="0.2">
      <c r="E989" s="85"/>
      <c r="AR989" s="10"/>
      <c r="AS989" s="10"/>
      <c r="AT989" s="10"/>
      <c r="AU989" s="10"/>
      <c r="AV989" s="10"/>
      <c r="AW989" s="10"/>
      <c r="AX989" s="10"/>
      <c r="AY989" s="10"/>
      <c r="AZ989" s="10"/>
      <c r="BA989" s="10"/>
      <c r="BB989" s="10"/>
      <c r="BC989" s="10"/>
      <c r="BD989" s="10"/>
      <c r="BE989" s="10"/>
      <c r="BF989" s="10"/>
      <c r="BG989" s="10"/>
      <c r="BH989" s="10"/>
      <c r="BI989" s="10"/>
      <c r="BJ989" s="10"/>
      <c r="BK989" s="10"/>
      <c r="BL989" s="10"/>
    </row>
    <row r="990" spans="5:64" s="8" customFormat="1" x14ac:dyDescent="0.2">
      <c r="E990" s="85"/>
      <c r="AR990" s="10"/>
      <c r="AS990" s="10"/>
      <c r="AT990" s="10"/>
      <c r="AU990" s="10"/>
      <c r="AV990" s="10"/>
      <c r="AW990" s="10"/>
      <c r="AX990" s="10"/>
      <c r="AY990" s="10"/>
      <c r="AZ990" s="10"/>
      <c r="BA990" s="10"/>
      <c r="BB990" s="10"/>
      <c r="BC990" s="10"/>
      <c r="BD990" s="10"/>
      <c r="BE990" s="10"/>
      <c r="BF990" s="10"/>
      <c r="BG990" s="10"/>
      <c r="BH990" s="10"/>
      <c r="BI990" s="10"/>
      <c r="BJ990" s="10"/>
      <c r="BK990" s="10"/>
      <c r="BL990" s="10"/>
    </row>
    <row r="991" spans="5:64" s="8" customFormat="1" x14ac:dyDescent="0.2">
      <c r="E991" s="85"/>
      <c r="AR991" s="10"/>
      <c r="AS991" s="10"/>
      <c r="AT991" s="10"/>
      <c r="AU991" s="10"/>
      <c r="AV991" s="10"/>
      <c r="AW991" s="10"/>
      <c r="AX991" s="10"/>
      <c r="AY991" s="10"/>
      <c r="AZ991" s="10"/>
      <c r="BA991" s="10"/>
      <c r="BB991" s="10"/>
      <c r="BC991" s="10"/>
      <c r="BD991" s="10"/>
      <c r="BE991" s="10"/>
      <c r="BF991" s="10"/>
      <c r="BG991" s="10"/>
      <c r="BH991" s="10"/>
      <c r="BI991" s="10"/>
      <c r="BJ991" s="10"/>
      <c r="BK991" s="10"/>
      <c r="BL991" s="10"/>
    </row>
    <row r="992" spans="5:64" s="8" customFormat="1" x14ac:dyDescent="0.2">
      <c r="E992" s="85"/>
      <c r="AR992" s="10"/>
      <c r="AS992" s="10"/>
      <c r="AT992" s="10"/>
      <c r="AU992" s="10"/>
      <c r="AV992" s="10"/>
      <c r="AW992" s="10"/>
      <c r="AX992" s="10"/>
      <c r="AY992" s="10"/>
      <c r="AZ992" s="10"/>
      <c r="BA992" s="10"/>
      <c r="BB992" s="10"/>
      <c r="BC992" s="10"/>
      <c r="BD992" s="10"/>
      <c r="BE992" s="10"/>
      <c r="BF992" s="10"/>
      <c r="BG992" s="10"/>
      <c r="BH992" s="10"/>
      <c r="BI992" s="10"/>
      <c r="BJ992" s="10"/>
      <c r="BK992" s="10"/>
      <c r="BL992" s="10"/>
    </row>
    <row r="993" spans="5:64" s="8" customFormat="1" x14ac:dyDescent="0.2">
      <c r="E993" s="85"/>
      <c r="AR993" s="10"/>
      <c r="AS993" s="10"/>
      <c r="AT993" s="10"/>
      <c r="AU993" s="10"/>
      <c r="AV993" s="10"/>
      <c r="AW993" s="10"/>
      <c r="AX993" s="10"/>
      <c r="AY993" s="10"/>
      <c r="AZ993" s="10"/>
      <c r="BA993" s="10"/>
      <c r="BB993" s="10"/>
      <c r="BC993" s="10"/>
      <c r="BD993" s="10"/>
      <c r="BE993" s="10"/>
      <c r="BF993" s="10"/>
      <c r="BG993" s="10"/>
      <c r="BH993" s="10"/>
      <c r="BI993" s="10"/>
      <c r="BJ993" s="10"/>
      <c r="BK993" s="10"/>
      <c r="BL993" s="10"/>
    </row>
    <row r="994" spans="5:64" s="8" customFormat="1" x14ac:dyDescent="0.2">
      <c r="E994" s="85"/>
      <c r="AR994" s="10"/>
      <c r="AS994" s="10"/>
      <c r="AT994" s="10"/>
      <c r="AU994" s="10"/>
      <c r="AV994" s="10"/>
      <c r="AW994" s="10"/>
      <c r="AX994" s="10"/>
      <c r="AY994" s="10"/>
      <c r="AZ994" s="10"/>
      <c r="BA994" s="10"/>
      <c r="BB994" s="10"/>
      <c r="BC994" s="10"/>
      <c r="BD994" s="10"/>
      <c r="BE994" s="10"/>
      <c r="BF994" s="10"/>
      <c r="BG994" s="10"/>
      <c r="BH994" s="10"/>
      <c r="BI994" s="10"/>
      <c r="BJ994" s="10"/>
      <c r="BK994" s="10"/>
      <c r="BL994" s="10"/>
    </row>
    <row r="995" spans="5:64" s="8" customFormat="1" x14ac:dyDescent="0.2">
      <c r="E995" s="85"/>
      <c r="AR995" s="10"/>
      <c r="AS995" s="10"/>
      <c r="AT995" s="10"/>
      <c r="AU995" s="10"/>
      <c r="AV995" s="10"/>
      <c r="AW995" s="10"/>
      <c r="AX995" s="10"/>
      <c r="AY995" s="10"/>
      <c r="AZ995" s="10"/>
      <c r="BA995" s="10"/>
      <c r="BB995" s="10"/>
      <c r="BC995" s="10"/>
      <c r="BD995" s="10"/>
      <c r="BE995" s="10"/>
      <c r="BF995" s="10"/>
      <c r="BG995" s="10"/>
      <c r="BH995" s="10"/>
      <c r="BI995" s="10"/>
      <c r="BJ995" s="10"/>
      <c r="BK995" s="10"/>
      <c r="BL995" s="10"/>
    </row>
    <row r="996" spans="5:64" s="8" customFormat="1" x14ac:dyDescent="0.2">
      <c r="E996" s="85"/>
      <c r="AR996" s="10"/>
      <c r="AS996" s="10"/>
      <c r="AT996" s="10"/>
      <c r="AU996" s="10"/>
      <c r="AV996" s="10"/>
      <c r="AW996" s="10"/>
      <c r="AX996" s="10"/>
      <c r="AY996" s="10"/>
      <c r="AZ996" s="10"/>
      <c r="BA996" s="10"/>
      <c r="BB996" s="10"/>
      <c r="BC996" s="10"/>
      <c r="BD996" s="10"/>
      <c r="BE996" s="10"/>
      <c r="BF996" s="10"/>
      <c r="BG996" s="10"/>
      <c r="BH996" s="10"/>
      <c r="BI996" s="10"/>
      <c r="BJ996" s="10"/>
      <c r="BK996" s="10"/>
      <c r="BL996" s="10"/>
    </row>
    <row r="997" spans="5:64" s="8" customFormat="1" x14ac:dyDescent="0.2">
      <c r="E997" s="85"/>
      <c r="AR997" s="10"/>
      <c r="AS997" s="10"/>
      <c r="AT997" s="10"/>
      <c r="AU997" s="10"/>
      <c r="AV997" s="10"/>
      <c r="AW997" s="10"/>
      <c r="AX997" s="10"/>
      <c r="AY997" s="10"/>
      <c r="AZ997" s="10"/>
      <c r="BA997" s="10"/>
      <c r="BB997" s="10"/>
      <c r="BC997" s="10"/>
      <c r="BD997" s="10"/>
      <c r="BE997" s="10"/>
      <c r="BF997" s="10"/>
      <c r="BG997" s="10"/>
      <c r="BH997" s="10"/>
      <c r="BI997" s="10"/>
      <c r="BJ997" s="10"/>
      <c r="BK997" s="10"/>
      <c r="BL997" s="10"/>
    </row>
    <row r="998" spans="5:64" s="8" customFormat="1" x14ac:dyDescent="0.2">
      <c r="E998" s="85"/>
      <c r="AR998" s="10"/>
      <c r="AS998" s="10"/>
      <c r="AT998" s="10"/>
      <c r="AU998" s="10"/>
      <c r="AV998" s="10"/>
      <c r="AW998" s="10"/>
      <c r="AX998" s="10"/>
      <c r="AY998" s="10"/>
      <c r="AZ998" s="10"/>
      <c r="BA998" s="10"/>
      <c r="BB998" s="10"/>
      <c r="BC998" s="10"/>
      <c r="BD998" s="10"/>
      <c r="BE998" s="10"/>
      <c r="BF998" s="10"/>
      <c r="BG998" s="10"/>
      <c r="BH998" s="10"/>
      <c r="BI998" s="10"/>
      <c r="BJ998" s="10"/>
      <c r="BK998" s="10"/>
      <c r="BL998" s="10"/>
    </row>
    <row r="999" spans="5:64" s="8" customFormat="1" x14ac:dyDescent="0.2">
      <c r="E999" s="85"/>
      <c r="AR999" s="10"/>
      <c r="AS999" s="10"/>
      <c r="AT999" s="10"/>
      <c r="AU999" s="10"/>
      <c r="AV999" s="10"/>
      <c r="AW999" s="10"/>
      <c r="AX999" s="10"/>
      <c r="AY999" s="10"/>
      <c r="AZ999" s="10"/>
      <c r="BA999" s="10"/>
      <c r="BB999" s="10"/>
      <c r="BC999" s="10"/>
      <c r="BD999" s="10"/>
      <c r="BE999" s="10"/>
      <c r="BF999" s="10"/>
      <c r="BG999" s="10"/>
      <c r="BH999" s="10"/>
      <c r="BI999" s="10"/>
      <c r="BJ999" s="10"/>
      <c r="BK999" s="10"/>
      <c r="BL999" s="10"/>
    </row>
    <row r="1000" spans="5:64" s="8" customFormat="1" x14ac:dyDescent="0.2">
      <c r="E1000" s="85"/>
      <c r="AR1000" s="10"/>
      <c r="AS1000" s="10"/>
      <c r="AT1000" s="10"/>
      <c r="AU1000" s="10"/>
      <c r="AV1000" s="10"/>
      <c r="AW1000" s="10"/>
      <c r="AX1000" s="10"/>
      <c r="AY1000" s="10"/>
      <c r="AZ1000" s="10"/>
      <c r="BA1000" s="10"/>
      <c r="BB1000" s="10"/>
      <c r="BC1000" s="10"/>
      <c r="BD1000" s="10"/>
      <c r="BE1000" s="10"/>
      <c r="BF1000" s="10"/>
      <c r="BG1000" s="10"/>
      <c r="BH1000" s="10"/>
      <c r="BI1000" s="10"/>
      <c r="BJ1000" s="10"/>
      <c r="BK1000" s="10"/>
      <c r="BL1000" s="10"/>
    </row>
    <row r="1001" spans="5:64" s="8" customFormat="1" x14ac:dyDescent="0.2">
      <c r="E1001" s="85"/>
      <c r="AR1001" s="10"/>
      <c r="AS1001" s="10"/>
      <c r="AT1001" s="10"/>
      <c r="AU1001" s="10"/>
      <c r="AV1001" s="10"/>
      <c r="AW1001" s="10"/>
      <c r="AX1001" s="10"/>
      <c r="AY1001" s="10"/>
      <c r="AZ1001" s="10"/>
      <c r="BA1001" s="10"/>
      <c r="BB1001" s="10"/>
      <c r="BC1001" s="10"/>
      <c r="BD1001" s="10"/>
      <c r="BE1001" s="10"/>
      <c r="BF1001" s="10"/>
      <c r="BG1001" s="10"/>
      <c r="BH1001" s="10"/>
      <c r="BI1001" s="10"/>
      <c r="BJ1001" s="10"/>
      <c r="BK1001" s="10"/>
      <c r="BL1001" s="10"/>
    </row>
    <row r="1002" spans="5:64" s="8" customFormat="1" x14ac:dyDescent="0.2">
      <c r="E1002" s="85"/>
      <c r="AR1002" s="10"/>
      <c r="AS1002" s="10"/>
      <c r="AT1002" s="10"/>
      <c r="AU1002" s="10"/>
      <c r="AV1002" s="10"/>
      <c r="AW1002" s="10"/>
      <c r="AX1002" s="10"/>
      <c r="AY1002" s="10"/>
      <c r="AZ1002" s="10"/>
      <c r="BA1002" s="10"/>
      <c r="BB1002" s="10"/>
      <c r="BC1002" s="10"/>
      <c r="BD1002" s="10"/>
      <c r="BE1002" s="10"/>
      <c r="BF1002" s="10"/>
      <c r="BG1002" s="10"/>
      <c r="BH1002" s="10"/>
      <c r="BI1002" s="10"/>
      <c r="BJ1002" s="10"/>
      <c r="BK1002" s="10"/>
      <c r="BL1002" s="10"/>
    </row>
    <row r="1003" spans="5:64" s="8" customFormat="1" x14ac:dyDescent="0.2">
      <c r="E1003" s="85"/>
      <c r="AR1003" s="10"/>
      <c r="AS1003" s="10"/>
      <c r="AT1003" s="10"/>
      <c r="AU1003" s="10"/>
      <c r="AV1003" s="10"/>
      <c r="AW1003" s="10"/>
      <c r="AX1003" s="10"/>
      <c r="AY1003" s="10"/>
      <c r="AZ1003" s="10"/>
      <c r="BA1003" s="10"/>
      <c r="BB1003" s="10"/>
      <c r="BC1003" s="10"/>
      <c r="BD1003" s="10"/>
      <c r="BE1003" s="10"/>
      <c r="BF1003" s="10"/>
      <c r="BG1003" s="10"/>
      <c r="BH1003" s="10"/>
      <c r="BI1003" s="10"/>
      <c r="BJ1003" s="10"/>
      <c r="BK1003" s="10"/>
      <c r="BL1003" s="10"/>
    </row>
    <row r="1004" spans="5:64" s="8" customFormat="1" x14ac:dyDescent="0.2">
      <c r="E1004" s="85"/>
      <c r="AR1004" s="10"/>
      <c r="AS1004" s="10"/>
      <c r="AT1004" s="10"/>
      <c r="AU1004" s="10"/>
      <c r="AV1004" s="10"/>
      <c r="AW1004" s="10"/>
      <c r="AX1004" s="10"/>
      <c r="AY1004" s="10"/>
      <c r="AZ1004" s="10"/>
      <c r="BA1004" s="10"/>
      <c r="BB1004" s="10"/>
      <c r="BC1004" s="10"/>
      <c r="BD1004" s="10"/>
      <c r="BE1004" s="10"/>
      <c r="BF1004" s="10"/>
      <c r="BG1004" s="10"/>
      <c r="BH1004" s="10"/>
      <c r="BI1004" s="10"/>
      <c r="BJ1004" s="10"/>
      <c r="BK1004" s="10"/>
      <c r="BL1004" s="10"/>
    </row>
    <row r="1005" spans="5:64" s="8" customFormat="1" x14ac:dyDescent="0.2">
      <c r="E1005" s="85"/>
      <c r="AR1005" s="10"/>
      <c r="AS1005" s="10"/>
      <c r="AT1005" s="10"/>
      <c r="AU1005" s="10"/>
      <c r="AV1005" s="10"/>
      <c r="AW1005" s="10"/>
      <c r="AX1005" s="10"/>
      <c r="AY1005" s="10"/>
      <c r="AZ1005" s="10"/>
      <c r="BA1005" s="10"/>
      <c r="BB1005" s="10"/>
      <c r="BC1005" s="10"/>
      <c r="BD1005" s="10"/>
      <c r="BE1005" s="10"/>
      <c r="BF1005" s="10"/>
      <c r="BG1005" s="10"/>
      <c r="BH1005" s="10"/>
      <c r="BI1005" s="10"/>
      <c r="BJ1005" s="10"/>
      <c r="BK1005" s="10"/>
      <c r="BL1005" s="10"/>
    </row>
    <row r="1006" spans="5:64" s="8" customFormat="1" x14ac:dyDescent="0.2">
      <c r="E1006" s="85"/>
      <c r="AR1006" s="10"/>
      <c r="AS1006" s="10"/>
      <c r="AT1006" s="10"/>
      <c r="AU1006" s="10"/>
      <c r="AV1006" s="10"/>
      <c r="AW1006" s="10"/>
      <c r="AX1006" s="10"/>
      <c r="AY1006" s="10"/>
      <c r="AZ1006" s="10"/>
      <c r="BA1006" s="10"/>
      <c r="BB1006" s="10"/>
      <c r="BC1006" s="10"/>
      <c r="BD1006" s="10"/>
      <c r="BE1006" s="10"/>
      <c r="BF1006" s="10"/>
      <c r="BG1006" s="10"/>
      <c r="BH1006" s="10"/>
      <c r="BI1006" s="10"/>
      <c r="BJ1006" s="10"/>
      <c r="BK1006" s="10"/>
      <c r="BL1006" s="10"/>
    </row>
    <row r="1007" spans="5:64" s="8" customFormat="1" x14ac:dyDescent="0.2">
      <c r="E1007" s="85"/>
      <c r="AR1007" s="10"/>
      <c r="AS1007" s="10"/>
      <c r="AT1007" s="10"/>
      <c r="AU1007" s="10"/>
      <c r="AV1007" s="10"/>
      <c r="AW1007" s="10"/>
      <c r="AX1007" s="10"/>
      <c r="AY1007" s="10"/>
      <c r="AZ1007" s="10"/>
      <c r="BA1007" s="10"/>
      <c r="BB1007" s="10"/>
      <c r="BC1007" s="10"/>
      <c r="BD1007" s="10"/>
      <c r="BE1007" s="10"/>
      <c r="BF1007" s="10"/>
      <c r="BG1007" s="10"/>
      <c r="BH1007" s="10"/>
      <c r="BI1007" s="10"/>
      <c r="BJ1007" s="10"/>
      <c r="BK1007" s="10"/>
      <c r="BL1007" s="10"/>
    </row>
    <row r="1008" spans="5:64" s="8" customFormat="1" x14ac:dyDescent="0.2">
      <c r="E1008" s="85"/>
      <c r="AR1008" s="10"/>
      <c r="AS1008" s="10"/>
      <c r="AT1008" s="10"/>
      <c r="AU1008" s="10"/>
      <c r="AV1008" s="10"/>
      <c r="AW1008" s="10"/>
      <c r="AX1008" s="10"/>
      <c r="AY1008" s="10"/>
      <c r="AZ1008" s="10"/>
      <c r="BA1008" s="10"/>
      <c r="BB1008" s="10"/>
      <c r="BC1008" s="10"/>
      <c r="BD1008" s="10"/>
      <c r="BE1008" s="10"/>
      <c r="BF1008" s="10"/>
      <c r="BG1008" s="10"/>
      <c r="BH1008" s="10"/>
      <c r="BI1008" s="10"/>
      <c r="BJ1008" s="10"/>
      <c r="BK1008" s="10"/>
      <c r="BL1008" s="10"/>
    </row>
    <row r="1009" spans="5:64" s="8" customFormat="1" x14ac:dyDescent="0.2">
      <c r="E1009" s="85"/>
      <c r="AR1009" s="10"/>
      <c r="AS1009" s="10"/>
      <c r="AT1009" s="10"/>
      <c r="AU1009" s="10"/>
      <c r="AV1009" s="10"/>
      <c r="AW1009" s="10"/>
      <c r="AX1009" s="10"/>
      <c r="AY1009" s="10"/>
      <c r="AZ1009" s="10"/>
      <c r="BA1009" s="10"/>
      <c r="BB1009" s="10"/>
      <c r="BC1009" s="10"/>
      <c r="BD1009" s="10"/>
      <c r="BE1009" s="10"/>
      <c r="BF1009" s="10"/>
      <c r="BG1009" s="10"/>
      <c r="BH1009" s="10"/>
      <c r="BI1009" s="10"/>
      <c r="BJ1009" s="10"/>
      <c r="BK1009" s="10"/>
      <c r="BL1009" s="10"/>
    </row>
    <row r="1010" spans="5:64" s="8" customFormat="1" x14ac:dyDescent="0.2">
      <c r="E1010" s="85"/>
      <c r="AR1010" s="10"/>
      <c r="AS1010" s="10"/>
      <c r="AT1010" s="10"/>
      <c r="AU1010" s="10"/>
      <c r="AV1010" s="10"/>
      <c r="AW1010" s="10"/>
      <c r="AX1010" s="10"/>
      <c r="AY1010" s="10"/>
      <c r="AZ1010" s="10"/>
      <c r="BA1010" s="10"/>
      <c r="BB1010" s="10"/>
      <c r="BC1010" s="10"/>
      <c r="BD1010" s="10"/>
      <c r="BE1010" s="10"/>
      <c r="BF1010" s="10"/>
      <c r="BG1010" s="10"/>
      <c r="BH1010" s="10"/>
      <c r="BI1010" s="10"/>
      <c r="BJ1010" s="10"/>
      <c r="BK1010" s="10"/>
      <c r="BL1010" s="10"/>
    </row>
    <row r="1011" spans="5:64" s="8" customFormat="1" x14ac:dyDescent="0.2">
      <c r="E1011" s="85"/>
      <c r="AR1011" s="10"/>
      <c r="AS1011" s="10"/>
      <c r="AT1011" s="10"/>
      <c r="AU1011" s="10"/>
      <c r="AV1011" s="10"/>
      <c r="AW1011" s="10"/>
      <c r="AX1011" s="10"/>
      <c r="AY1011" s="10"/>
      <c r="AZ1011" s="10"/>
      <c r="BA1011" s="10"/>
      <c r="BB1011" s="10"/>
      <c r="BC1011" s="10"/>
      <c r="BD1011" s="10"/>
      <c r="BE1011" s="10"/>
      <c r="BF1011" s="10"/>
      <c r="BG1011" s="10"/>
      <c r="BH1011" s="10"/>
      <c r="BI1011" s="10"/>
      <c r="BJ1011" s="10"/>
      <c r="BK1011" s="10"/>
      <c r="BL1011" s="10"/>
    </row>
    <row r="1012" spans="5:64" s="8" customFormat="1" x14ac:dyDescent="0.2">
      <c r="E1012" s="85"/>
      <c r="AR1012" s="10"/>
      <c r="AS1012" s="10"/>
      <c r="AT1012" s="10"/>
      <c r="AU1012" s="10"/>
      <c r="AV1012" s="10"/>
      <c r="AW1012" s="10"/>
      <c r="AX1012" s="10"/>
      <c r="AY1012" s="10"/>
      <c r="AZ1012" s="10"/>
      <c r="BA1012" s="10"/>
      <c r="BB1012" s="10"/>
      <c r="BC1012" s="10"/>
      <c r="BD1012" s="10"/>
      <c r="BE1012" s="10"/>
      <c r="BF1012" s="10"/>
      <c r="BG1012" s="10"/>
      <c r="BH1012" s="10"/>
      <c r="BI1012" s="10"/>
      <c r="BJ1012" s="10"/>
      <c r="BK1012" s="10"/>
      <c r="BL1012" s="10"/>
    </row>
    <row r="1013" spans="5:64" s="8" customFormat="1" x14ac:dyDescent="0.2">
      <c r="E1013" s="85"/>
      <c r="AR1013" s="10"/>
      <c r="AS1013" s="10"/>
      <c r="AT1013" s="10"/>
      <c r="AU1013" s="10"/>
      <c r="AV1013" s="10"/>
      <c r="AW1013" s="10"/>
      <c r="AX1013" s="10"/>
      <c r="AY1013" s="10"/>
      <c r="AZ1013" s="10"/>
      <c r="BA1013" s="10"/>
      <c r="BB1013" s="10"/>
      <c r="BC1013" s="10"/>
      <c r="BD1013" s="10"/>
      <c r="BE1013" s="10"/>
      <c r="BF1013" s="10"/>
      <c r="BG1013" s="10"/>
      <c r="BH1013" s="10"/>
      <c r="BI1013" s="10"/>
      <c r="BJ1013" s="10"/>
      <c r="BK1013" s="10"/>
      <c r="BL1013" s="10"/>
    </row>
    <row r="1014" spans="5:64" s="8" customFormat="1" x14ac:dyDescent="0.2">
      <c r="E1014" s="85"/>
      <c r="AR1014" s="10"/>
      <c r="AS1014" s="10"/>
      <c r="AT1014" s="10"/>
      <c r="AU1014" s="10"/>
      <c r="AV1014" s="10"/>
      <c r="AW1014" s="10"/>
      <c r="AX1014" s="10"/>
      <c r="AY1014" s="10"/>
      <c r="AZ1014" s="10"/>
      <c r="BA1014" s="10"/>
      <c r="BB1014" s="10"/>
      <c r="BC1014" s="10"/>
      <c r="BD1014" s="10"/>
      <c r="BE1014" s="10"/>
      <c r="BF1014" s="10"/>
      <c r="BG1014" s="10"/>
      <c r="BH1014" s="10"/>
      <c r="BI1014" s="10"/>
      <c r="BJ1014" s="10"/>
      <c r="BK1014" s="10"/>
      <c r="BL1014" s="10"/>
    </row>
    <row r="1015" spans="5:64" s="8" customFormat="1" x14ac:dyDescent="0.2">
      <c r="E1015" s="85"/>
      <c r="AR1015" s="10"/>
      <c r="AS1015" s="10"/>
      <c r="AT1015" s="10"/>
      <c r="AU1015" s="10"/>
      <c r="AV1015" s="10"/>
      <c r="AW1015" s="10"/>
      <c r="AX1015" s="10"/>
      <c r="AY1015" s="10"/>
      <c r="AZ1015" s="10"/>
      <c r="BA1015" s="10"/>
      <c r="BB1015" s="10"/>
      <c r="BC1015" s="10"/>
      <c r="BD1015" s="10"/>
      <c r="BE1015" s="10"/>
      <c r="BF1015" s="10"/>
      <c r="BG1015" s="10"/>
      <c r="BH1015" s="10"/>
      <c r="BI1015" s="10"/>
      <c r="BJ1015" s="10"/>
      <c r="BK1015" s="10"/>
      <c r="BL1015" s="10"/>
    </row>
    <row r="1016" spans="5:64" s="8" customFormat="1" x14ac:dyDescent="0.2">
      <c r="E1016" s="85"/>
      <c r="AR1016" s="10"/>
      <c r="AS1016" s="10"/>
      <c r="AT1016" s="10"/>
      <c r="AU1016" s="10"/>
      <c r="AV1016" s="10"/>
      <c r="AW1016" s="10"/>
      <c r="AX1016" s="10"/>
      <c r="AY1016" s="10"/>
      <c r="AZ1016" s="10"/>
      <c r="BA1016" s="10"/>
      <c r="BB1016" s="10"/>
      <c r="BC1016" s="10"/>
      <c r="BD1016" s="10"/>
      <c r="BE1016" s="10"/>
      <c r="BF1016" s="10"/>
      <c r="BG1016" s="10"/>
      <c r="BH1016" s="10"/>
      <c r="BI1016" s="10"/>
      <c r="BJ1016" s="10"/>
      <c r="BK1016" s="10"/>
      <c r="BL1016" s="10"/>
    </row>
    <row r="1017" spans="5:64" s="8" customFormat="1" x14ac:dyDescent="0.2">
      <c r="E1017" s="85"/>
      <c r="AR1017" s="10"/>
      <c r="AS1017" s="10"/>
      <c r="AT1017" s="10"/>
      <c r="AU1017" s="10"/>
      <c r="AV1017" s="10"/>
      <c r="AW1017" s="10"/>
      <c r="AX1017" s="10"/>
      <c r="AY1017" s="10"/>
      <c r="AZ1017" s="10"/>
      <c r="BA1017" s="10"/>
      <c r="BB1017" s="10"/>
      <c r="BC1017" s="10"/>
      <c r="BD1017" s="10"/>
      <c r="BE1017" s="10"/>
      <c r="BF1017" s="10"/>
      <c r="BG1017" s="10"/>
      <c r="BH1017" s="10"/>
      <c r="BI1017" s="10"/>
      <c r="BJ1017" s="10"/>
      <c r="BK1017" s="10"/>
      <c r="BL1017" s="10"/>
    </row>
    <row r="1018" spans="5:64" s="8" customFormat="1" x14ac:dyDescent="0.2">
      <c r="E1018" s="85"/>
      <c r="AR1018" s="10"/>
      <c r="AS1018" s="10"/>
      <c r="AT1018" s="10"/>
      <c r="AU1018" s="10"/>
      <c r="AV1018" s="10"/>
      <c r="AW1018" s="10"/>
      <c r="AX1018" s="10"/>
      <c r="AY1018" s="10"/>
      <c r="AZ1018" s="10"/>
      <c r="BA1018" s="10"/>
      <c r="BB1018" s="10"/>
      <c r="BC1018" s="10"/>
      <c r="BD1018" s="10"/>
      <c r="BE1018" s="10"/>
      <c r="BF1018" s="10"/>
      <c r="BG1018" s="10"/>
      <c r="BH1018" s="10"/>
      <c r="BI1018" s="10"/>
      <c r="BJ1018" s="10"/>
      <c r="BK1018" s="10"/>
      <c r="BL1018" s="10"/>
    </row>
    <row r="1019" spans="5:64" s="8" customFormat="1" x14ac:dyDescent="0.2">
      <c r="E1019" s="85"/>
      <c r="AR1019" s="10"/>
      <c r="AS1019" s="10"/>
      <c r="AT1019" s="10"/>
      <c r="AU1019" s="10"/>
      <c r="AV1019" s="10"/>
      <c r="AW1019" s="10"/>
      <c r="AX1019" s="10"/>
      <c r="AY1019" s="10"/>
      <c r="AZ1019" s="10"/>
      <c r="BA1019" s="10"/>
      <c r="BB1019" s="10"/>
      <c r="BC1019" s="10"/>
      <c r="BD1019" s="10"/>
      <c r="BE1019" s="10"/>
      <c r="BF1019" s="10"/>
      <c r="BG1019" s="10"/>
      <c r="BH1019" s="10"/>
      <c r="BI1019" s="10"/>
      <c r="BJ1019" s="10"/>
      <c r="BK1019" s="10"/>
      <c r="BL1019" s="10"/>
    </row>
    <row r="1020" spans="5:64" s="8" customFormat="1" x14ac:dyDescent="0.2">
      <c r="E1020" s="85"/>
      <c r="AR1020" s="10"/>
      <c r="AS1020" s="10"/>
      <c r="AT1020" s="10"/>
      <c r="AU1020" s="10"/>
      <c r="AV1020" s="10"/>
      <c r="AW1020" s="10"/>
      <c r="AX1020" s="10"/>
      <c r="AY1020" s="10"/>
      <c r="AZ1020" s="10"/>
      <c r="BA1020" s="10"/>
      <c r="BB1020" s="10"/>
      <c r="BC1020" s="10"/>
      <c r="BD1020" s="10"/>
      <c r="BE1020" s="10"/>
      <c r="BF1020" s="10"/>
      <c r="BG1020" s="10"/>
      <c r="BH1020" s="10"/>
      <c r="BI1020" s="10"/>
      <c r="BJ1020" s="10"/>
      <c r="BK1020" s="10"/>
      <c r="BL1020" s="10"/>
    </row>
    <row r="1021" spans="5:64" s="8" customFormat="1" x14ac:dyDescent="0.2">
      <c r="E1021" s="85"/>
      <c r="AR1021" s="10"/>
      <c r="AS1021" s="10"/>
      <c r="AT1021" s="10"/>
      <c r="AU1021" s="10"/>
      <c r="AV1021" s="10"/>
      <c r="AW1021" s="10"/>
      <c r="AX1021" s="10"/>
      <c r="AY1021" s="10"/>
      <c r="AZ1021" s="10"/>
      <c r="BA1021" s="10"/>
      <c r="BB1021" s="10"/>
      <c r="BC1021" s="10"/>
      <c r="BD1021" s="10"/>
      <c r="BE1021" s="10"/>
      <c r="BF1021" s="10"/>
      <c r="BG1021" s="10"/>
      <c r="BH1021" s="10"/>
      <c r="BI1021" s="10"/>
      <c r="BJ1021" s="10"/>
      <c r="BK1021" s="10"/>
      <c r="BL1021" s="10"/>
    </row>
    <row r="1022" spans="5:64" s="8" customFormat="1" x14ac:dyDescent="0.2">
      <c r="E1022" s="85"/>
      <c r="AR1022" s="10"/>
      <c r="AS1022" s="10"/>
      <c r="AT1022" s="10"/>
      <c r="AU1022" s="10"/>
      <c r="AV1022" s="10"/>
      <c r="AW1022" s="10"/>
      <c r="AX1022" s="10"/>
      <c r="AY1022" s="10"/>
      <c r="AZ1022" s="10"/>
      <c r="BA1022" s="10"/>
      <c r="BB1022" s="10"/>
      <c r="BC1022" s="10"/>
      <c r="BD1022" s="10"/>
      <c r="BE1022" s="10"/>
      <c r="BF1022" s="10"/>
      <c r="BG1022" s="10"/>
      <c r="BH1022" s="10"/>
      <c r="BI1022" s="10"/>
      <c r="BJ1022" s="10"/>
      <c r="BK1022" s="10"/>
      <c r="BL1022" s="10"/>
    </row>
    <row r="1023" spans="5:64" s="8" customFormat="1" x14ac:dyDescent="0.2">
      <c r="E1023" s="85"/>
      <c r="AR1023" s="10"/>
      <c r="AS1023" s="10"/>
      <c r="AT1023" s="10"/>
      <c r="AU1023" s="10"/>
      <c r="AV1023" s="10"/>
      <c r="AW1023" s="10"/>
      <c r="AX1023" s="10"/>
      <c r="AY1023" s="10"/>
      <c r="AZ1023" s="10"/>
      <c r="BA1023" s="10"/>
      <c r="BB1023" s="10"/>
      <c r="BC1023" s="10"/>
      <c r="BD1023" s="10"/>
      <c r="BE1023" s="10"/>
      <c r="BF1023" s="10"/>
      <c r="BG1023" s="10"/>
      <c r="BH1023" s="10"/>
      <c r="BI1023" s="10"/>
      <c r="BJ1023" s="10"/>
      <c r="BK1023" s="10"/>
      <c r="BL1023" s="10"/>
    </row>
    <row r="1024" spans="5:64" s="8" customFormat="1" x14ac:dyDescent="0.2">
      <c r="E1024" s="85"/>
      <c r="AR1024" s="10"/>
      <c r="AS1024" s="10"/>
      <c r="AT1024" s="10"/>
      <c r="AU1024" s="10"/>
      <c r="AV1024" s="10"/>
      <c r="AW1024" s="10"/>
      <c r="AX1024" s="10"/>
      <c r="AY1024" s="10"/>
      <c r="AZ1024" s="10"/>
      <c r="BA1024" s="10"/>
      <c r="BB1024" s="10"/>
      <c r="BC1024" s="10"/>
      <c r="BD1024" s="10"/>
      <c r="BE1024" s="10"/>
      <c r="BF1024" s="10"/>
      <c r="BG1024" s="10"/>
      <c r="BH1024" s="10"/>
      <c r="BI1024" s="10"/>
      <c r="BJ1024" s="10"/>
      <c r="BK1024" s="10"/>
      <c r="BL1024" s="10"/>
    </row>
    <row r="1025" spans="5:64" s="8" customFormat="1" x14ac:dyDescent="0.2">
      <c r="E1025" s="85"/>
      <c r="AR1025" s="10"/>
      <c r="AS1025" s="10"/>
      <c r="AT1025" s="10"/>
      <c r="AU1025" s="10"/>
      <c r="AV1025" s="10"/>
      <c r="AW1025" s="10"/>
      <c r="AX1025" s="10"/>
      <c r="AY1025" s="10"/>
      <c r="AZ1025" s="10"/>
      <c r="BA1025" s="10"/>
      <c r="BB1025" s="10"/>
      <c r="BC1025" s="10"/>
      <c r="BD1025" s="10"/>
      <c r="BE1025" s="10"/>
      <c r="BF1025" s="10"/>
      <c r="BG1025" s="10"/>
      <c r="BH1025" s="10"/>
      <c r="BI1025" s="10"/>
      <c r="BJ1025" s="10"/>
      <c r="BK1025" s="10"/>
      <c r="BL1025" s="10"/>
    </row>
    <row r="1026" spans="5:64" s="8" customFormat="1" x14ac:dyDescent="0.2">
      <c r="E1026" s="85"/>
      <c r="AR1026" s="10"/>
      <c r="AS1026" s="10"/>
      <c r="AT1026" s="10"/>
      <c r="AU1026" s="10"/>
      <c r="AV1026" s="10"/>
      <c r="AW1026" s="10"/>
      <c r="AX1026" s="10"/>
      <c r="AY1026" s="10"/>
      <c r="AZ1026" s="10"/>
      <c r="BA1026" s="10"/>
      <c r="BB1026" s="10"/>
      <c r="BC1026" s="10"/>
      <c r="BD1026" s="10"/>
      <c r="BE1026" s="10"/>
      <c r="BF1026" s="10"/>
      <c r="BG1026" s="10"/>
      <c r="BH1026" s="10"/>
      <c r="BI1026" s="10"/>
      <c r="BJ1026" s="10"/>
      <c r="BK1026" s="10"/>
      <c r="BL1026" s="10"/>
    </row>
    <row r="1027" spans="5:64" s="8" customFormat="1" x14ac:dyDescent="0.2">
      <c r="E1027" s="85"/>
      <c r="AR1027" s="10"/>
      <c r="AS1027" s="10"/>
      <c r="AT1027" s="10"/>
      <c r="AU1027" s="10"/>
      <c r="AV1027" s="10"/>
      <c r="AW1027" s="10"/>
      <c r="AX1027" s="10"/>
      <c r="AY1027" s="10"/>
      <c r="AZ1027" s="10"/>
      <c r="BA1027" s="10"/>
      <c r="BB1027" s="10"/>
      <c r="BC1027" s="10"/>
      <c r="BD1027" s="10"/>
      <c r="BE1027" s="10"/>
      <c r="BF1027" s="10"/>
      <c r="BG1027" s="10"/>
      <c r="BH1027" s="10"/>
      <c r="BI1027" s="10"/>
      <c r="BJ1027" s="10"/>
      <c r="BK1027" s="10"/>
      <c r="BL1027" s="10"/>
    </row>
    <row r="1028" spans="5:64" s="8" customFormat="1" x14ac:dyDescent="0.2">
      <c r="E1028" s="85"/>
      <c r="AR1028" s="10"/>
      <c r="AS1028" s="10"/>
      <c r="AT1028" s="10"/>
      <c r="AU1028" s="10"/>
      <c r="AV1028" s="10"/>
      <c r="AW1028" s="10"/>
      <c r="AX1028" s="10"/>
      <c r="AY1028" s="10"/>
      <c r="AZ1028" s="10"/>
      <c r="BA1028" s="10"/>
      <c r="BB1028" s="10"/>
      <c r="BC1028" s="10"/>
      <c r="BD1028" s="10"/>
      <c r="BE1028" s="10"/>
      <c r="BF1028" s="10"/>
      <c r="BG1028" s="10"/>
      <c r="BH1028" s="10"/>
      <c r="BI1028" s="10"/>
      <c r="BJ1028" s="10"/>
      <c r="BK1028" s="10"/>
      <c r="BL1028" s="10"/>
    </row>
    <row r="1029" spans="5:64" s="8" customFormat="1" x14ac:dyDescent="0.2">
      <c r="E1029" s="85"/>
      <c r="AR1029" s="10"/>
      <c r="AS1029" s="10"/>
      <c r="AT1029" s="10"/>
      <c r="AU1029" s="10"/>
      <c r="AV1029" s="10"/>
      <c r="AW1029" s="10"/>
      <c r="AX1029" s="10"/>
      <c r="AY1029" s="10"/>
      <c r="AZ1029" s="10"/>
      <c r="BA1029" s="10"/>
      <c r="BB1029" s="10"/>
      <c r="BC1029" s="10"/>
      <c r="BD1029" s="10"/>
      <c r="BE1029" s="10"/>
      <c r="BF1029" s="10"/>
      <c r="BG1029" s="10"/>
      <c r="BH1029" s="10"/>
      <c r="BI1029" s="10"/>
      <c r="BJ1029" s="10"/>
      <c r="BK1029" s="10"/>
      <c r="BL1029" s="10"/>
    </row>
    <row r="1030" spans="5:64" s="8" customFormat="1" x14ac:dyDescent="0.2">
      <c r="E1030" s="85"/>
      <c r="AR1030" s="10"/>
      <c r="AS1030" s="10"/>
      <c r="AT1030" s="10"/>
      <c r="AU1030" s="10"/>
      <c r="AV1030" s="10"/>
      <c r="AW1030" s="10"/>
      <c r="AX1030" s="10"/>
      <c r="AY1030" s="10"/>
      <c r="AZ1030" s="10"/>
      <c r="BA1030" s="10"/>
      <c r="BB1030" s="10"/>
      <c r="BC1030" s="10"/>
      <c r="BD1030" s="10"/>
      <c r="BE1030" s="10"/>
      <c r="BF1030" s="10"/>
      <c r="BG1030" s="10"/>
      <c r="BH1030" s="10"/>
      <c r="BI1030" s="10"/>
      <c r="BJ1030" s="10"/>
      <c r="BK1030" s="10"/>
      <c r="BL1030" s="10"/>
    </row>
    <row r="1031" spans="5:64" s="8" customFormat="1" x14ac:dyDescent="0.2">
      <c r="E1031" s="85"/>
      <c r="AR1031" s="10"/>
      <c r="AS1031" s="10"/>
      <c r="AT1031" s="10"/>
      <c r="AU1031" s="10"/>
      <c r="AV1031" s="10"/>
      <c r="AW1031" s="10"/>
      <c r="AX1031" s="10"/>
      <c r="AY1031" s="10"/>
      <c r="AZ1031" s="10"/>
      <c r="BA1031" s="10"/>
      <c r="BB1031" s="10"/>
      <c r="BC1031" s="10"/>
      <c r="BD1031" s="10"/>
      <c r="BE1031" s="10"/>
      <c r="BF1031" s="10"/>
      <c r="BG1031" s="10"/>
      <c r="BH1031" s="10"/>
      <c r="BI1031" s="10"/>
      <c r="BJ1031" s="10"/>
      <c r="BK1031" s="10"/>
      <c r="BL1031" s="10"/>
    </row>
    <row r="1032" spans="5:64" s="8" customFormat="1" x14ac:dyDescent="0.2">
      <c r="E1032" s="85"/>
      <c r="AR1032" s="10"/>
      <c r="AS1032" s="10"/>
      <c r="AT1032" s="10"/>
      <c r="AU1032" s="10"/>
      <c r="AV1032" s="10"/>
      <c r="AW1032" s="10"/>
      <c r="AX1032" s="10"/>
      <c r="AY1032" s="10"/>
      <c r="AZ1032" s="10"/>
      <c r="BA1032" s="10"/>
      <c r="BB1032" s="10"/>
      <c r="BC1032" s="10"/>
      <c r="BD1032" s="10"/>
      <c r="BE1032" s="10"/>
      <c r="BF1032" s="10"/>
      <c r="BG1032" s="10"/>
      <c r="BH1032" s="10"/>
      <c r="BI1032" s="10"/>
      <c r="BJ1032" s="10"/>
      <c r="BK1032" s="10"/>
      <c r="BL1032" s="10"/>
    </row>
    <row r="1033" spans="5:64" s="8" customFormat="1" x14ac:dyDescent="0.2">
      <c r="E1033" s="85"/>
      <c r="AR1033" s="10"/>
      <c r="AS1033" s="10"/>
      <c r="AT1033" s="10"/>
      <c r="AU1033" s="10"/>
      <c r="AV1033" s="10"/>
      <c r="AW1033" s="10"/>
      <c r="AX1033" s="10"/>
      <c r="AY1033" s="10"/>
      <c r="AZ1033" s="10"/>
      <c r="BA1033" s="10"/>
      <c r="BB1033" s="10"/>
      <c r="BC1033" s="10"/>
      <c r="BD1033" s="10"/>
      <c r="BE1033" s="10"/>
      <c r="BF1033" s="10"/>
      <c r="BG1033" s="10"/>
      <c r="BH1033" s="10"/>
      <c r="BI1033" s="10"/>
      <c r="BJ1033" s="10"/>
      <c r="BK1033" s="10"/>
      <c r="BL1033" s="10"/>
    </row>
    <row r="1034" spans="5:64" s="8" customFormat="1" x14ac:dyDescent="0.2">
      <c r="E1034" s="85"/>
      <c r="AR1034" s="10"/>
      <c r="AS1034" s="10"/>
      <c r="AT1034" s="10"/>
      <c r="AU1034" s="10"/>
      <c r="AV1034" s="10"/>
      <c r="AW1034" s="10"/>
      <c r="AX1034" s="10"/>
      <c r="AY1034" s="10"/>
      <c r="AZ1034" s="10"/>
      <c r="BA1034" s="10"/>
      <c r="BB1034" s="10"/>
      <c r="BC1034" s="10"/>
      <c r="BD1034" s="10"/>
      <c r="BE1034" s="10"/>
      <c r="BF1034" s="10"/>
      <c r="BG1034" s="10"/>
      <c r="BH1034" s="10"/>
      <c r="BI1034" s="10"/>
      <c r="BJ1034" s="10"/>
      <c r="BK1034" s="10"/>
      <c r="BL1034" s="10"/>
    </row>
    <row r="1035" spans="5:64" s="8" customFormat="1" x14ac:dyDescent="0.2">
      <c r="E1035" s="85"/>
      <c r="AR1035" s="10"/>
      <c r="AS1035" s="10"/>
      <c r="AT1035" s="10"/>
      <c r="AU1035" s="10"/>
      <c r="AV1035" s="10"/>
      <c r="AW1035" s="10"/>
      <c r="AX1035" s="10"/>
      <c r="AY1035" s="10"/>
      <c r="AZ1035" s="10"/>
      <c r="BA1035" s="10"/>
      <c r="BB1035" s="10"/>
      <c r="BC1035" s="10"/>
      <c r="BD1035" s="10"/>
      <c r="BE1035" s="10"/>
      <c r="BF1035" s="10"/>
      <c r="BG1035" s="10"/>
      <c r="BH1035" s="10"/>
      <c r="BI1035" s="10"/>
      <c r="BJ1035" s="10"/>
      <c r="BK1035" s="10"/>
      <c r="BL1035" s="10"/>
    </row>
    <row r="1036" spans="5:64" s="8" customFormat="1" x14ac:dyDescent="0.2">
      <c r="E1036" s="85"/>
      <c r="AR1036" s="10"/>
      <c r="AS1036" s="10"/>
      <c r="AT1036" s="10"/>
      <c r="AU1036" s="10"/>
      <c r="AV1036" s="10"/>
      <c r="AW1036" s="10"/>
      <c r="AX1036" s="10"/>
      <c r="AY1036" s="10"/>
      <c r="AZ1036" s="10"/>
      <c r="BA1036" s="10"/>
      <c r="BB1036" s="10"/>
      <c r="BC1036" s="10"/>
      <c r="BD1036" s="10"/>
      <c r="BE1036" s="10"/>
      <c r="BF1036" s="10"/>
      <c r="BG1036" s="10"/>
      <c r="BH1036" s="10"/>
      <c r="BI1036" s="10"/>
      <c r="BJ1036" s="10"/>
      <c r="BK1036" s="10"/>
      <c r="BL1036" s="10"/>
    </row>
    <row r="1037" spans="5:64" s="8" customFormat="1" x14ac:dyDescent="0.2">
      <c r="E1037" s="85"/>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row>
    <row r="1038" spans="5:64" s="8" customFormat="1" x14ac:dyDescent="0.2">
      <c r="E1038" s="85"/>
      <c r="AR1038" s="10"/>
      <c r="AS1038" s="10"/>
      <c r="AT1038" s="10"/>
      <c r="AU1038" s="10"/>
      <c r="AV1038" s="10"/>
      <c r="AW1038" s="10"/>
      <c r="AX1038" s="10"/>
      <c r="AY1038" s="10"/>
      <c r="AZ1038" s="10"/>
      <c r="BA1038" s="10"/>
      <c r="BB1038" s="10"/>
      <c r="BC1038" s="10"/>
      <c r="BD1038" s="10"/>
      <c r="BE1038" s="10"/>
      <c r="BF1038" s="10"/>
      <c r="BG1038" s="10"/>
      <c r="BH1038" s="10"/>
      <c r="BI1038" s="10"/>
      <c r="BJ1038" s="10"/>
      <c r="BK1038" s="10"/>
      <c r="BL1038" s="10"/>
    </row>
    <row r="1039" spans="5:64" s="8" customFormat="1" x14ac:dyDescent="0.2">
      <c r="E1039" s="85"/>
      <c r="AR1039" s="10"/>
      <c r="AS1039" s="10"/>
      <c r="AT1039" s="10"/>
      <c r="AU1039" s="10"/>
      <c r="AV1039" s="10"/>
      <c r="AW1039" s="10"/>
      <c r="AX1039" s="10"/>
      <c r="AY1039" s="10"/>
      <c r="AZ1039" s="10"/>
      <c r="BA1039" s="10"/>
      <c r="BB1039" s="10"/>
      <c r="BC1039" s="10"/>
      <c r="BD1039" s="10"/>
      <c r="BE1039" s="10"/>
      <c r="BF1039" s="10"/>
      <c r="BG1039" s="10"/>
      <c r="BH1039" s="10"/>
      <c r="BI1039" s="10"/>
      <c r="BJ1039" s="10"/>
      <c r="BK1039" s="10"/>
      <c r="BL1039" s="10"/>
    </row>
    <row r="1040" spans="5:64" s="8" customFormat="1" x14ac:dyDescent="0.2">
      <c r="E1040" s="85"/>
      <c r="AR1040" s="10"/>
      <c r="AS1040" s="10"/>
      <c r="AT1040" s="10"/>
      <c r="AU1040" s="10"/>
      <c r="AV1040" s="10"/>
      <c r="AW1040" s="10"/>
      <c r="AX1040" s="10"/>
      <c r="AY1040" s="10"/>
      <c r="AZ1040" s="10"/>
      <c r="BA1040" s="10"/>
      <c r="BB1040" s="10"/>
      <c r="BC1040" s="10"/>
      <c r="BD1040" s="10"/>
      <c r="BE1040" s="10"/>
      <c r="BF1040" s="10"/>
      <c r="BG1040" s="10"/>
      <c r="BH1040" s="10"/>
      <c r="BI1040" s="10"/>
      <c r="BJ1040" s="10"/>
      <c r="BK1040" s="10"/>
      <c r="BL1040" s="10"/>
    </row>
    <row r="1041" spans="5:64" s="8" customFormat="1" x14ac:dyDescent="0.2">
      <c r="E1041" s="85"/>
      <c r="AR1041" s="10"/>
      <c r="AS1041" s="10"/>
      <c r="AT1041" s="10"/>
      <c r="AU1041" s="10"/>
      <c r="AV1041" s="10"/>
      <c r="AW1041" s="10"/>
      <c r="AX1041" s="10"/>
      <c r="AY1041" s="10"/>
      <c r="AZ1041" s="10"/>
      <c r="BA1041" s="10"/>
      <c r="BB1041" s="10"/>
      <c r="BC1041" s="10"/>
      <c r="BD1041" s="10"/>
      <c r="BE1041" s="10"/>
      <c r="BF1041" s="10"/>
      <c r="BG1041" s="10"/>
      <c r="BH1041" s="10"/>
      <c r="BI1041" s="10"/>
      <c r="BJ1041" s="10"/>
      <c r="BK1041" s="10"/>
      <c r="BL1041" s="10"/>
    </row>
    <row r="1042" spans="5:64" s="8" customFormat="1" x14ac:dyDescent="0.2">
      <c r="E1042" s="85"/>
      <c r="AR1042" s="10"/>
      <c r="AS1042" s="10"/>
      <c r="AT1042" s="10"/>
      <c r="AU1042" s="10"/>
      <c r="AV1042" s="10"/>
      <c r="AW1042" s="10"/>
      <c r="AX1042" s="10"/>
      <c r="AY1042" s="10"/>
      <c r="AZ1042" s="10"/>
      <c r="BA1042" s="10"/>
      <c r="BB1042" s="10"/>
      <c r="BC1042" s="10"/>
      <c r="BD1042" s="10"/>
      <c r="BE1042" s="10"/>
      <c r="BF1042" s="10"/>
      <c r="BG1042" s="10"/>
      <c r="BH1042" s="10"/>
      <c r="BI1042" s="10"/>
      <c r="BJ1042" s="10"/>
      <c r="BK1042" s="10"/>
      <c r="BL1042" s="10"/>
    </row>
    <row r="1043" spans="5:64" s="8" customFormat="1" x14ac:dyDescent="0.2">
      <c r="E1043" s="85"/>
      <c r="AR1043" s="10"/>
      <c r="AS1043" s="10"/>
      <c r="AT1043" s="10"/>
      <c r="AU1043" s="10"/>
      <c r="AV1043" s="10"/>
      <c r="AW1043" s="10"/>
      <c r="AX1043" s="10"/>
      <c r="AY1043" s="10"/>
      <c r="AZ1043" s="10"/>
      <c r="BA1043" s="10"/>
      <c r="BB1043" s="10"/>
      <c r="BC1043" s="10"/>
      <c r="BD1043" s="10"/>
      <c r="BE1043" s="10"/>
      <c r="BF1043" s="10"/>
      <c r="BG1043" s="10"/>
      <c r="BH1043" s="10"/>
      <c r="BI1043" s="10"/>
      <c r="BJ1043" s="10"/>
      <c r="BK1043" s="10"/>
      <c r="BL1043" s="10"/>
    </row>
    <row r="1044" spans="5:64" s="8" customFormat="1" x14ac:dyDescent="0.2">
      <c r="E1044" s="85"/>
      <c r="AR1044" s="10"/>
      <c r="AS1044" s="10"/>
      <c r="AT1044" s="10"/>
      <c r="AU1044" s="10"/>
      <c r="AV1044" s="10"/>
      <c r="AW1044" s="10"/>
      <c r="AX1044" s="10"/>
      <c r="AY1044" s="10"/>
      <c r="AZ1044" s="10"/>
      <c r="BA1044" s="10"/>
      <c r="BB1044" s="10"/>
      <c r="BC1044" s="10"/>
      <c r="BD1044" s="10"/>
      <c r="BE1044" s="10"/>
      <c r="BF1044" s="10"/>
      <c r="BG1044" s="10"/>
      <c r="BH1044" s="10"/>
      <c r="BI1044" s="10"/>
      <c r="BJ1044" s="10"/>
      <c r="BK1044" s="10"/>
      <c r="BL1044" s="10"/>
    </row>
    <row r="1045" spans="5:64" s="8" customFormat="1" x14ac:dyDescent="0.2">
      <c r="E1045" s="85"/>
      <c r="AR1045" s="10"/>
      <c r="AS1045" s="10"/>
      <c r="AT1045" s="10"/>
      <c r="AU1045" s="10"/>
      <c r="AV1045" s="10"/>
      <c r="AW1045" s="10"/>
      <c r="AX1045" s="10"/>
      <c r="AY1045" s="10"/>
      <c r="AZ1045" s="10"/>
      <c r="BA1045" s="10"/>
      <c r="BB1045" s="10"/>
      <c r="BC1045" s="10"/>
      <c r="BD1045" s="10"/>
      <c r="BE1045" s="10"/>
      <c r="BF1045" s="10"/>
      <c r="BG1045" s="10"/>
      <c r="BH1045" s="10"/>
      <c r="BI1045" s="10"/>
      <c r="BJ1045" s="10"/>
      <c r="BK1045" s="10"/>
      <c r="BL1045" s="10"/>
    </row>
    <row r="1046" spans="5:64" s="8" customFormat="1" x14ac:dyDescent="0.2">
      <c r="E1046" s="85"/>
      <c r="AR1046" s="10"/>
      <c r="AS1046" s="10"/>
      <c r="AT1046" s="10"/>
      <c r="AU1046" s="10"/>
      <c r="AV1046" s="10"/>
      <c r="AW1046" s="10"/>
      <c r="AX1046" s="10"/>
      <c r="AY1046" s="10"/>
      <c r="AZ1046" s="10"/>
      <c r="BA1046" s="10"/>
      <c r="BB1046" s="10"/>
      <c r="BC1046" s="10"/>
      <c r="BD1046" s="10"/>
      <c r="BE1046" s="10"/>
      <c r="BF1046" s="10"/>
      <c r="BG1046" s="10"/>
      <c r="BH1046" s="10"/>
      <c r="BI1046" s="10"/>
      <c r="BJ1046" s="10"/>
      <c r="BK1046" s="10"/>
      <c r="BL1046" s="10"/>
    </row>
    <row r="1047" spans="5:64" s="8" customFormat="1" x14ac:dyDescent="0.2">
      <c r="E1047" s="85"/>
      <c r="AR1047" s="10"/>
      <c r="AS1047" s="10"/>
      <c r="AT1047" s="10"/>
      <c r="AU1047" s="10"/>
      <c r="AV1047" s="10"/>
      <c r="AW1047" s="10"/>
      <c r="AX1047" s="10"/>
      <c r="AY1047" s="10"/>
      <c r="AZ1047" s="10"/>
      <c r="BA1047" s="10"/>
      <c r="BB1047" s="10"/>
      <c r="BC1047" s="10"/>
      <c r="BD1047" s="10"/>
      <c r="BE1047" s="10"/>
      <c r="BF1047" s="10"/>
      <c r="BG1047" s="10"/>
      <c r="BH1047" s="10"/>
      <c r="BI1047" s="10"/>
      <c r="BJ1047" s="10"/>
      <c r="BK1047" s="10"/>
      <c r="BL1047" s="10"/>
    </row>
    <row r="1048" spans="5:64" s="8" customFormat="1" x14ac:dyDescent="0.2">
      <c r="E1048" s="85"/>
      <c r="AR1048" s="10"/>
      <c r="AS1048" s="10"/>
      <c r="AT1048" s="10"/>
      <c r="AU1048" s="10"/>
      <c r="AV1048" s="10"/>
      <c r="AW1048" s="10"/>
      <c r="AX1048" s="10"/>
      <c r="AY1048" s="10"/>
      <c r="AZ1048" s="10"/>
      <c r="BA1048" s="10"/>
      <c r="BB1048" s="10"/>
      <c r="BC1048" s="10"/>
      <c r="BD1048" s="10"/>
      <c r="BE1048" s="10"/>
      <c r="BF1048" s="10"/>
      <c r="BG1048" s="10"/>
      <c r="BH1048" s="10"/>
      <c r="BI1048" s="10"/>
      <c r="BJ1048" s="10"/>
      <c r="BK1048" s="10"/>
      <c r="BL1048" s="10"/>
    </row>
    <row r="1049" spans="5:64" s="8" customFormat="1" x14ac:dyDescent="0.2">
      <c r="E1049" s="85"/>
      <c r="AR1049" s="10"/>
      <c r="AS1049" s="10"/>
      <c r="AT1049" s="10"/>
      <c r="AU1049" s="10"/>
      <c r="AV1049" s="10"/>
      <c r="AW1049" s="10"/>
      <c r="AX1049" s="10"/>
      <c r="AY1049" s="10"/>
      <c r="AZ1049" s="10"/>
      <c r="BA1049" s="10"/>
      <c r="BB1049" s="10"/>
      <c r="BC1049" s="10"/>
      <c r="BD1049" s="10"/>
      <c r="BE1049" s="10"/>
      <c r="BF1049" s="10"/>
      <c r="BG1049" s="10"/>
      <c r="BH1049" s="10"/>
      <c r="BI1049" s="10"/>
      <c r="BJ1049" s="10"/>
      <c r="BK1049" s="10"/>
      <c r="BL1049" s="10"/>
    </row>
    <row r="1050" spans="5:64" s="8" customFormat="1" x14ac:dyDescent="0.2">
      <c r="E1050" s="85"/>
      <c r="AR1050" s="10"/>
      <c r="AS1050" s="10"/>
      <c r="AT1050" s="10"/>
      <c r="AU1050" s="10"/>
      <c r="AV1050" s="10"/>
      <c r="AW1050" s="10"/>
      <c r="AX1050" s="10"/>
      <c r="AY1050" s="10"/>
      <c r="AZ1050" s="10"/>
      <c r="BA1050" s="10"/>
      <c r="BB1050" s="10"/>
      <c r="BC1050" s="10"/>
      <c r="BD1050" s="10"/>
      <c r="BE1050" s="10"/>
      <c r="BF1050" s="10"/>
      <c r="BG1050" s="10"/>
      <c r="BH1050" s="10"/>
      <c r="BI1050" s="10"/>
      <c r="BJ1050" s="10"/>
      <c r="BK1050" s="10"/>
      <c r="BL1050" s="10"/>
    </row>
    <row r="1051" spans="5:64" s="8" customFormat="1" x14ac:dyDescent="0.2">
      <c r="E1051" s="85"/>
      <c r="AR1051" s="10"/>
      <c r="AS1051" s="10"/>
      <c r="AT1051" s="10"/>
      <c r="AU1051" s="10"/>
      <c r="AV1051" s="10"/>
      <c r="AW1051" s="10"/>
      <c r="AX1051" s="10"/>
      <c r="AY1051" s="10"/>
      <c r="AZ1051" s="10"/>
      <c r="BA1051" s="10"/>
      <c r="BB1051" s="10"/>
      <c r="BC1051" s="10"/>
      <c r="BD1051" s="10"/>
      <c r="BE1051" s="10"/>
      <c r="BF1051" s="10"/>
      <c r="BG1051" s="10"/>
      <c r="BH1051" s="10"/>
      <c r="BI1051" s="10"/>
      <c r="BJ1051" s="10"/>
      <c r="BK1051" s="10"/>
      <c r="BL1051" s="10"/>
    </row>
    <row r="1052" spans="5:64" s="8" customFormat="1" x14ac:dyDescent="0.2">
      <c r="E1052" s="85"/>
      <c r="AR1052" s="10"/>
      <c r="AS1052" s="10"/>
      <c r="AT1052" s="10"/>
      <c r="AU1052" s="10"/>
      <c r="AV1052" s="10"/>
      <c r="AW1052" s="10"/>
      <c r="AX1052" s="10"/>
      <c r="AY1052" s="10"/>
      <c r="AZ1052" s="10"/>
      <c r="BA1052" s="10"/>
      <c r="BB1052" s="10"/>
      <c r="BC1052" s="10"/>
      <c r="BD1052" s="10"/>
      <c r="BE1052" s="10"/>
      <c r="BF1052" s="10"/>
      <c r="BG1052" s="10"/>
      <c r="BH1052" s="10"/>
      <c r="BI1052" s="10"/>
      <c r="BJ1052" s="10"/>
      <c r="BK1052" s="10"/>
      <c r="BL1052" s="10"/>
    </row>
    <row r="1053" spans="5:64" s="8" customFormat="1" x14ac:dyDescent="0.2">
      <c r="E1053" s="85"/>
      <c r="AR1053" s="10"/>
      <c r="AS1053" s="10"/>
      <c r="AT1053" s="10"/>
      <c r="AU1053" s="10"/>
      <c r="AV1053" s="10"/>
      <c r="AW1053" s="10"/>
      <c r="AX1053" s="10"/>
      <c r="AY1053" s="10"/>
      <c r="AZ1053" s="10"/>
      <c r="BA1053" s="10"/>
      <c r="BB1053" s="10"/>
      <c r="BC1053" s="10"/>
      <c r="BD1053" s="10"/>
      <c r="BE1053" s="10"/>
      <c r="BF1053" s="10"/>
      <c r="BG1053" s="10"/>
      <c r="BH1053" s="10"/>
      <c r="BI1053" s="10"/>
      <c r="BJ1053" s="10"/>
      <c r="BK1053" s="10"/>
      <c r="BL1053" s="10"/>
    </row>
    <row r="1054" spans="5:64" s="8" customFormat="1" x14ac:dyDescent="0.2">
      <c r="E1054" s="85"/>
      <c r="AR1054" s="10"/>
      <c r="AS1054" s="10"/>
      <c r="AT1054" s="10"/>
      <c r="AU1054" s="10"/>
      <c r="AV1054" s="10"/>
      <c r="AW1054" s="10"/>
      <c r="AX1054" s="10"/>
      <c r="AY1054" s="10"/>
      <c r="AZ1054" s="10"/>
      <c r="BA1054" s="10"/>
      <c r="BB1054" s="10"/>
      <c r="BC1054" s="10"/>
      <c r="BD1054" s="10"/>
      <c r="BE1054" s="10"/>
      <c r="BF1054" s="10"/>
      <c r="BG1054" s="10"/>
      <c r="BH1054" s="10"/>
      <c r="BI1054" s="10"/>
      <c r="BJ1054" s="10"/>
      <c r="BK1054" s="10"/>
      <c r="BL1054" s="10"/>
    </row>
    <row r="1055" spans="5:64" s="8" customFormat="1" x14ac:dyDescent="0.2">
      <c r="E1055" s="85"/>
      <c r="AR1055" s="10"/>
      <c r="AS1055" s="10"/>
      <c r="AT1055" s="10"/>
      <c r="AU1055" s="10"/>
      <c r="AV1055" s="10"/>
      <c r="AW1055" s="10"/>
      <c r="AX1055" s="10"/>
      <c r="AY1055" s="10"/>
      <c r="AZ1055" s="10"/>
      <c r="BA1055" s="10"/>
      <c r="BB1055" s="10"/>
      <c r="BC1055" s="10"/>
      <c r="BD1055" s="10"/>
      <c r="BE1055" s="10"/>
      <c r="BF1055" s="10"/>
      <c r="BG1055" s="10"/>
      <c r="BH1055" s="10"/>
      <c r="BI1055" s="10"/>
      <c r="BJ1055" s="10"/>
      <c r="BK1055" s="10"/>
      <c r="BL1055" s="10"/>
    </row>
    <row r="1056" spans="5:64" s="8" customFormat="1" x14ac:dyDescent="0.2">
      <c r="E1056" s="85"/>
      <c r="AR1056" s="10"/>
      <c r="AS1056" s="10"/>
      <c r="AT1056" s="10"/>
      <c r="AU1056" s="10"/>
      <c r="AV1056" s="10"/>
      <c r="AW1056" s="10"/>
      <c r="AX1056" s="10"/>
      <c r="AY1056" s="10"/>
      <c r="AZ1056" s="10"/>
      <c r="BA1056" s="10"/>
      <c r="BB1056" s="10"/>
      <c r="BC1056" s="10"/>
      <c r="BD1056" s="10"/>
      <c r="BE1056" s="10"/>
      <c r="BF1056" s="10"/>
      <c r="BG1056" s="10"/>
      <c r="BH1056" s="10"/>
      <c r="BI1056" s="10"/>
      <c r="BJ1056" s="10"/>
      <c r="BK1056" s="10"/>
      <c r="BL1056" s="10"/>
    </row>
    <row r="1057" spans="5:64" s="8" customFormat="1" x14ac:dyDescent="0.2">
      <c r="E1057" s="85"/>
      <c r="AR1057" s="10"/>
      <c r="AS1057" s="10"/>
      <c r="AT1057" s="10"/>
      <c r="AU1057" s="10"/>
      <c r="AV1057" s="10"/>
      <c r="AW1057" s="10"/>
      <c r="AX1057" s="10"/>
      <c r="AY1057" s="10"/>
      <c r="AZ1057" s="10"/>
      <c r="BA1057" s="10"/>
      <c r="BB1057" s="10"/>
      <c r="BC1057" s="10"/>
      <c r="BD1057" s="10"/>
      <c r="BE1057" s="10"/>
      <c r="BF1057" s="10"/>
      <c r="BG1057" s="10"/>
      <c r="BH1057" s="10"/>
      <c r="BI1057" s="10"/>
      <c r="BJ1057" s="10"/>
      <c r="BK1057" s="10"/>
      <c r="BL1057" s="10"/>
    </row>
    <row r="1058" spans="5:64" s="8" customFormat="1" x14ac:dyDescent="0.2">
      <c r="E1058" s="85"/>
      <c r="AR1058" s="10"/>
      <c r="AS1058" s="10"/>
      <c r="AT1058" s="10"/>
      <c r="AU1058" s="10"/>
      <c r="AV1058" s="10"/>
      <c r="AW1058" s="10"/>
      <c r="AX1058" s="10"/>
      <c r="AY1058" s="10"/>
      <c r="AZ1058" s="10"/>
      <c r="BA1058" s="10"/>
      <c r="BB1058" s="10"/>
      <c r="BC1058" s="10"/>
      <c r="BD1058" s="10"/>
      <c r="BE1058" s="10"/>
      <c r="BF1058" s="10"/>
      <c r="BG1058" s="10"/>
      <c r="BH1058" s="10"/>
      <c r="BI1058" s="10"/>
      <c r="BJ1058" s="10"/>
      <c r="BK1058" s="10"/>
      <c r="BL1058" s="10"/>
    </row>
    <row r="1059" spans="5:64" s="8" customFormat="1" x14ac:dyDescent="0.2">
      <c r="E1059" s="85"/>
      <c r="AR1059" s="10"/>
      <c r="AS1059" s="10"/>
      <c r="AT1059" s="10"/>
      <c r="AU1059" s="10"/>
      <c r="AV1059" s="10"/>
      <c r="AW1059" s="10"/>
      <c r="AX1059" s="10"/>
      <c r="AY1059" s="10"/>
      <c r="AZ1059" s="10"/>
      <c r="BA1059" s="10"/>
      <c r="BB1059" s="10"/>
      <c r="BC1059" s="10"/>
      <c r="BD1059" s="10"/>
      <c r="BE1059" s="10"/>
      <c r="BF1059" s="10"/>
      <c r="BG1059" s="10"/>
      <c r="BH1059" s="10"/>
      <c r="BI1059" s="10"/>
      <c r="BJ1059" s="10"/>
      <c r="BK1059" s="10"/>
      <c r="BL1059" s="10"/>
    </row>
    <row r="1060" spans="5:64" s="8" customFormat="1" x14ac:dyDescent="0.2">
      <c r="E1060" s="85"/>
      <c r="AR1060" s="10"/>
      <c r="AS1060" s="10"/>
      <c r="AT1060" s="10"/>
      <c r="AU1060" s="10"/>
      <c r="AV1060" s="10"/>
      <c r="AW1060" s="10"/>
      <c r="AX1060" s="10"/>
      <c r="AY1060" s="10"/>
      <c r="AZ1060" s="10"/>
      <c r="BA1060" s="10"/>
      <c r="BB1060" s="10"/>
      <c r="BC1060" s="10"/>
      <c r="BD1060" s="10"/>
      <c r="BE1060" s="10"/>
      <c r="BF1060" s="10"/>
      <c r="BG1060" s="10"/>
      <c r="BH1060" s="10"/>
      <c r="BI1060" s="10"/>
      <c r="BJ1060" s="10"/>
      <c r="BK1060" s="10"/>
      <c r="BL1060" s="10"/>
    </row>
    <row r="1061" spans="5:64" s="8" customFormat="1" x14ac:dyDescent="0.2">
      <c r="E1061" s="85"/>
      <c r="AR1061" s="10"/>
      <c r="AS1061" s="10"/>
      <c r="AT1061" s="10"/>
      <c r="AU1061" s="10"/>
      <c r="AV1061" s="10"/>
      <c r="AW1061" s="10"/>
      <c r="AX1061" s="10"/>
      <c r="AY1061" s="10"/>
      <c r="AZ1061" s="10"/>
      <c r="BA1061" s="10"/>
      <c r="BB1061" s="10"/>
      <c r="BC1061" s="10"/>
      <c r="BD1061" s="10"/>
      <c r="BE1061" s="10"/>
      <c r="BF1061" s="10"/>
      <c r="BG1061" s="10"/>
      <c r="BH1061" s="10"/>
      <c r="BI1061" s="10"/>
      <c r="BJ1061" s="10"/>
      <c r="BK1061" s="10"/>
      <c r="BL1061" s="10"/>
    </row>
    <row r="1062" spans="5:64" s="8" customFormat="1" x14ac:dyDescent="0.2">
      <c r="E1062" s="85"/>
      <c r="AR1062" s="10"/>
      <c r="AS1062" s="10"/>
      <c r="AT1062" s="10"/>
      <c r="AU1062" s="10"/>
      <c r="AV1062" s="10"/>
      <c r="AW1062" s="10"/>
      <c r="AX1062" s="10"/>
      <c r="AY1062" s="10"/>
      <c r="AZ1062" s="10"/>
      <c r="BA1062" s="10"/>
      <c r="BB1062" s="10"/>
      <c r="BC1062" s="10"/>
      <c r="BD1062" s="10"/>
      <c r="BE1062" s="10"/>
      <c r="BF1062" s="10"/>
      <c r="BG1062" s="10"/>
      <c r="BH1062" s="10"/>
      <c r="BI1062" s="10"/>
      <c r="BJ1062" s="10"/>
      <c r="BK1062" s="10"/>
      <c r="BL1062" s="10"/>
    </row>
    <row r="1063" spans="5:64" s="8" customFormat="1" x14ac:dyDescent="0.2">
      <c r="E1063" s="85"/>
      <c r="AR1063" s="10"/>
      <c r="AS1063" s="10"/>
      <c r="AT1063" s="10"/>
      <c r="AU1063" s="10"/>
      <c r="AV1063" s="10"/>
      <c r="AW1063" s="10"/>
      <c r="AX1063" s="10"/>
      <c r="AY1063" s="10"/>
      <c r="AZ1063" s="10"/>
      <c r="BA1063" s="10"/>
      <c r="BB1063" s="10"/>
      <c r="BC1063" s="10"/>
      <c r="BD1063" s="10"/>
      <c r="BE1063" s="10"/>
      <c r="BF1063" s="10"/>
      <c r="BG1063" s="10"/>
      <c r="BH1063" s="10"/>
      <c r="BI1063" s="10"/>
      <c r="BJ1063" s="10"/>
      <c r="BK1063" s="10"/>
      <c r="BL1063" s="10"/>
    </row>
    <row r="1064" spans="5:64" s="8" customFormat="1" x14ac:dyDescent="0.2">
      <c r="E1064" s="85"/>
      <c r="AR1064" s="10"/>
      <c r="AS1064" s="10"/>
      <c r="AT1064" s="10"/>
      <c r="AU1064" s="10"/>
      <c r="AV1064" s="10"/>
      <c r="AW1064" s="10"/>
      <c r="AX1064" s="10"/>
      <c r="AY1064" s="10"/>
      <c r="AZ1064" s="10"/>
      <c r="BA1064" s="10"/>
      <c r="BB1064" s="10"/>
      <c r="BC1064" s="10"/>
      <c r="BD1064" s="10"/>
      <c r="BE1064" s="10"/>
      <c r="BF1064" s="10"/>
      <c r="BG1064" s="10"/>
      <c r="BH1064" s="10"/>
      <c r="BI1064" s="10"/>
      <c r="BJ1064" s="10"/>
      <c r="BK1064" s="10"/>
      <c r="BL1064" s="10"/>
    </row>
    <row r="1065" spans="5:64" s="8" customFormat="1" x14ac:dyDescent="0.2">
      <c r="E1065" s="85"/>
      <c r="AR1065" s="10"/>
      <c r="AS1065" s="10"/>
      <c r="AT1065" s="10"/>
      <c r="AU1065" s="10"/>
      <c r="AV1065" s="10"/>
      <c r="AW1065" s="10"/>
      <c r="AX1065" s="10"/>
      <c r="AY1065" s="10"/>
      <c r="AZ1065" s="10"/>
      <c r="BA1065" s="10"/>
      <c r="BB1065" s="10"/>
      <c r="BC1065" s="10"/>
      <c r="BD1065" s="10"/>
      <c r="BE1065" s="10"/>
      <c r="BF1065" s="10"/>
      <c r="BG1065" s="10"/>
      <c r="BH1065" s="10"/>
      <c r="BI1065" s="10"/>
      <c r="BJ1065" s="10"/>
      <c r="BK1065" s="10"/>
      <c r="BL1065" s="10"/>
    </row>
    <row r="1066" spans="5:64" s="8" customFormat="1" x14ac:dyDescent="0.2">
      <c r="E1066" s="85"/>
      <c r="AR1066" s="10"/>
      <c r="AS1066" s="10"/>
      <c r="AT1066" s="10"/>
      <c r="AU1066" s="10"/>
      <c r="AV1066" s="10"/>
      <c r="AW1066" s="10"/>
      <c r="AX1066" s="10"/>
      <c r="AY1066" s="10"/>
      <c r="AZ1066" s="10"/>
      <c r="BA1066" s="10"/>
      <c r="BB1066" s="10"/>
      <c r="BC1066" s="10"/>
      <c r="BD1066" s="10"/>
      <c r="BE1066" s="10"/>
      <c r="BF1066" s="10"/>
      <c r="BG1066" s="10"/>
      <c r="BH1066" s="10"/>
      <c r="BI1066" s="10"/>
      <c r="BJ1066" s="10"/>
      <c r="BK1066" s="10"/>
      <c r="BL1066" s="10"/>
    </row>
    <row r="1067" spans="5:64" s="8" customFormat="1" x14ac:dyDescent="0.2">
      <c r="E1067" s="85"/>
      <c r="AR1067" s="10"/>
      <c r="AS1067" s="10"/>
      <c r="AT1067" s="10"/>
      <c r="AU1067" s="10"/>
      <c r="AV1067" s="10"/>
      <c r="AW1067" s="10"/>
      <c r="AX1067" s="10"/>
      <c r="AY1067" s="10"/>
      <c r="AZ1067" s="10"/>
      <c r="BA1067" s="10"/>
      <c r="BB1067" s="10"/>
      <c r="BC1067" s="10"/>
      <c r="BD1067" s="10"/>
      <c r="BE1067" s="10"/>
      <c r="BF1067" s="10"/>
      <c r="BG1067" s="10"/>
      <c r="BH1067" s="10"/>
      <c r="BI1067" s="10"/>
      <c r="BJ1067" s="10"/>
      <c r="BK1067" s="10"/>
      <c r="BL1067" s="10"/>
    </row>
    <row r="1068" spans="5:64" s="8" customFormat="1" x14ac:dyDescent="0.2">
      <c r="E1068" s="85"/>
      <c r="AR1068" s="10"/>
      <c r="AS1068" s="10"/>
      <c r="AT1068" s="10"/>
      <c r="AU1068" s="10"/>
      <c r="AV1068" s="10"/>
      <c r="AW1068" s="10"/>
      <c r="AX1068" s="10"/>
      <c r="AY1068" s="10"/>
      <c r="AZ1068" s="10"/>
      <c r="BA1068" s="10"/>
      <c r="BB1068" s="10"/>
      <c r="BC1068" s="10"/>
      <c r="BD1068" s="10"/>
      <c r="BE1068" s="10"/>
      <c r="BF1068" s="10"/>
      <c r="BG1068" s="10"/>
      <c r="BH1068" s="10"/>
      <c r="BI1068" s="10"/>
      <c r="BJ1068" s="10"/>
      <c r="BK1068" s="10"/>
      <c r="BL1068" s="10"/>
    </row>
    <row r="1069" spans="5:64" s="8" customFormat="1" x14ac:dyDescent="0.2">
      <c r="E1069" s="85"/>
      <c r="AR1069" s="10"/>
      <c r="AS1069" s="10"/>
      <c r="AT1069" s="10"/>
      <c r="AU1069" s="10"/>
      <c r="AV1069" s="10"/>
      <c r="AW1069" s="10"/>
      <c r="AX1069" s="10"/>
      <c r="AY1069" s="10"/>
      <c r="AZ1069" s="10"/>
      <c r="BA1069" s="10"/>
      <c r="BB1069" s="10"/>
      <c r="BC1069" s="10"/>
      <c r="BD1069" s="10"/>
      <c r="BE1069" s="10"/>
      <c r="BF1069" s="10"/>
      <c r="BG1069" s="10"/>
      <c r="BH1069" s="10"/>
      <c r="BI1069" s="10"/>
      <c r="BJ1069" s="10"/>
      <c r="BK1069" s="10"/>
      <c r="BL1069" s="10"/>
    </row>
    <row r="1070" spans="5:64" s="8" customFormat="1" x14ac:dyDescent="0.2">
      <c r="E1070" s="85"/>
      <c r="AR1070" s="10"/>
      <c r="AS1070" s="10"/>
      <c r="AT1070" s="10"/>
      <c r="AU1070" s="10"/>
      <c r="AV1070" s="10"/>
      <c r="AW1070" s="10"/>
      <c r="AX1070" s="10"/>
      <c r="AY1070" s="10"/>
      <c r="AZ1070" s="10"/>
      <c r="BA1070" s="10"/>
      <c r="BB1070" s="10"/>
      <c r="BC1070" s="10"/>
      <c r="BD1070" s="10"/>
      <c r="BE1070" s="10"/>
      <c r="BF1070" s="10"/>
      <c r="BG1070" s="10"/>
      <c r="BH1070" s="10"/>
      <c r="BI1070" s="10"/>
      <c r="BJ1070" s="10"/>
      <c r="BK1070" s="10"/>
      <c r="BL1070" s="10"/>
    </row>
    <row r="1071" spans="5:64" s="8" customFormat="1" x14ac:dyDescent="0.2">
      <c r="E1071" s="85"/>
      <c r="AR1071" s="10"/>
      <c r="AS1071" s="10"/>
      <c r="AT1071" s="10"/>
      <c r="AU1071" s="10"/>
      <c r="AV1071" s="10"/>
      <c r="AW1071" s="10"/>
      <c r="AX1071" s="10"/>
      <c r="AY1071" s="10"/>
      <c r="AZ1071" s="10"/>
      <c r="BA1071" s="10"/>
      <c r="BB1071" s="10"/>
      <c r="BC1071" s="10"/>
      <c r="BD1071" s="10"/>
      <c r="BE1071" s="10"/>
      <c r="BF1071" s="10"/>
      <c r="BG1071" s="10"/>
      <c r="BH1071" s="10"/>
      <c r="BI1071" s="10"/>
      <c r="BJ1071" s="10"/>
      <c r="BK1071" s="10"/>
      <c r="BL1071" s="10"/>
    </row>
    <row r="1072" spans="5:64" s="8" customFormat="1" x14ac:dyDescent="0.2">
      <c r="E1072" s="85"/>
      <c r="AR1072" s="10"/>
      <c r="AS1072" s="10"/>
      <c r="AT1072" s="10"/>
      <c r="AU1072" s="10"/>
      <c r="AV1072" s="10"/>
      <c r="AW1072" s="10"/>
      <c r="AX1072" s="10"/>
      <c r="AY1072" s="10"/>
      <c r="AZ1072" s="10"/>
      <c r="BA1072" s="10"/>
      <c r="BB1072" s="10"/>
      <c r="BC1072" s="10"/>
      <c r="BD1072" s="10"/>
      <c r="BE1072" s="10"/>
      <c r="BF1072" s="10"/>
      <c r="BG1072" s="10"/>
      <c r="BH1072" s="10"/>
      <c r="BI1072" s="10"/>
      <c r="BJ1072" s="10"/>
      <c r="BK1072" s="10"/>
      <c r="BL1072" s="10"/>
    </row>
    <row r="1073" spans="5:64" s="8" customFormat="1" x14ac:dyDescent="0.2">
      <c r="E1073" s="85"/>
      <c r="AR1073" s="10"/>
      <c r="AS1073" s="10"/>
      <c r="AT1073" s="10"/>
      <c r="AU1073" s="10"/>
      <c r="AV1073" s="10"/>
      <c r="AW1073" s="10"/>
      <c r="AX1073" s="10"/>
      <c r="AY1073" s="10"/>
      <c r="AZ1073" s="10"/>
      <c r="BA1073" s="10"/>
      <c r="BB1073" s="10"/>
      <c r="BC1073" s="10"/>
      <c r="BD1073" s="10"/>
      <c r="BE1073" s="10"/>
      <c r="BF1073" s="10"/>
      <c r="BG1073" s="10"/>
      <c r="BH1073" s="10"/>
      <c r="BI1073" s="10"/>
      <c r="BJ1073" s="10"/>
      <c r="BK1073" s="10"/>
      <c r="BL1073" s="10"/>
    </row>
    <row r="1074" spans="5:64" s="8" customFormat="1" x14ac:dyDescent="0.2">
      <c r="E1074" s="85"/>
      <c r="AR1074" s="10"/>
      <c r="AS1074" s="10"/>
      <c r="AT1074" s="10"/>
      <c r="AU1074" s="10"/>
      <c r="AV1074" s="10"/>
      <c r="AW1074" s="10"/>
      <c r="AX1074" s="10"/>
      <c r="AY1074" s="10"/>
      <c r="AZ1074" s="10"/>
      <c r="BA1074" s="10"/>
      <c r="BB1074" s="10"/>
      <c r="BC1074" s="10"/>
      <c r="BD1074" s="10"/>
      <c r="BE1074" s="10"/>
      <c r="BF1074" s="10"/>
      <c r="BG1074" s="10"/>
      <c r="BH1074" s="10"/>
      <c r="BI1074" s="10"/>
      <c r="BJ1074" s="10"/>
      <c r="BK1074" s="10"/>
      <c r="BL1074" s="10"/>
    </row>
    <row r="1075" spans="5:64" s="8" customFormat="1" x14ac:dyDescent="0.2">
      <c r="E1075" s="85"/>
      <c r="AR1075" s="10"/>
      <c r="AS1075" s="10"/>
      <c r="AT1075" s="10"/>
      <c r="AU1075" s="10"/>
      <c r="AV1075" s="10"/>
      <c r="AW1075" s="10"/>
      <c r="AX1075" s="10"/>
      <c r="AY1075" s="10"/>
      <c r="AZ1075" s="10"/>
      <c r="BA1075" s="10"/>
      <c r="BB1075" s="10"/>
      <c r="BC1075" s="10"/>
      <c r="BD1075" s="10"/>
      <c r="BE1075" s="10"/>
      <c r="BF1075" s="10"/>
      <c r="BG1075" s="10"/>
      <c r="BH1075" s="10"/>
      <c r="BI1075" s="10"/>
      <c r="BJ1075" s="10"/>
      <c r="BK1075" s="10"/>
      <c r="BL1075" s="10"/>
    </row>
    <row r="1076" spans="5:64" s="8" customFormat="1" x14ac:dyDescent="0.2">
      <c r="E1076" s="85"/>
      <c r="AR1076" s="10"/>
      <c r="AS1076" s="10"/>
      <c r="AT1076" s="10"/>
      <c r="AU1076" s="10"/>
      <c r="AV1076" s="10"/>
      <c r="AW1076" s="10"/>
      <c r="AX1076" s="10"/>
      <c r="AY1076" s="10"/>
      <c r="AZ1076" s="10"/>
      <c r="BA1076" s="10"/>
      <c r="BB1076" s="10"/>
      <c r="BC1076" s="10"/>
      <c r="BD1076" s="10"/>
      <c r="BE1076" s="10"/>
      <c r="BF1076" s="10"/>
      <c r="BG1076" s="10"/>
      <c r="BH1076" s="10"/>
      <c r="BI1076" s="10"/>
      <c r="BJ1076" s="10"/>
      <c r="BK1076" s="10"/>
      <c r="BL1076" s="10"/>
    </row>
    <row r="1077" spans="5:64" s="8" customFormat="1" x14ac:dyDescent="0.2">
      <c r="E1077" s="85"/>
      <c r="AR1077" s="10"/>
      <c r="AS1077" s="10"/>
      <c r="AT1077" s="10"/>
      <c r="AU1077" s="10"/>
      <c r="AV1077" s="10"/>
      <c r="AW1077" s="10"/>
      <c r="AX1077" s="10"/>
      <c r="AY1077" s="10"/>
      <c r="AZ1077" s="10"/>
      <c r="BA1077" s="10"/>
      <c r="BB1077" s="10"/>
      <c r="BC1077" s="10"/>
      <c r="BD1077" s="10"/>
      <c r="BE1077" s="10"/>
      <c r="BF1077" s="10"/>
      <c r="BG1077" s="10"/>
      <c r="BH1077" s="10"/>
      <c r="BI1077" s="10"/>
      <c r="BJ1077" s="10"/>
      <c r="BK1077" s="10"/>
      <c r="BL1077" s="10"/>
    </row>
    <row r="1078" spans="5:64" s="8" customFormat="1" x14ac:dyDescent="0.2">
      <c r="E1078" s="85"/>
      <c r="AR1078" s="10"/>
      <c r="AS1078" s="10"/>
      <c r="AT1078" s="10"/>
      <c r="AU1078" s="10"/>
      <c r="AV1078" s="10"/>
      <c r="AW1078" s="10"/>
      <c r="AX1078" s="10"/>
      <c r="AY1078" s="10"/>
      <c r="AZ1078" s="10"/>
      <c r="BA1078" s="10"/>
      <c r="BB1078" s="10"/>
      <c r="BC1078" s="10"/>
      <c r="BD1078" s="10"/>
      <c r="BE1078" s="10"/>
      <c r="BF1078" s="10"/>
      <c r="BG1078" s="10"/>
      <c r="BH1078" s="10"/>
      <c r="BI1078" s="10"/>
      <c r="BJ1078" s="10"/>
      <c r="BK1078" s="10"/>
      <c r="BL1078" s="10"/>
    </row>
    <row r="1079" spans="5:64" s="8" customFormat="1" x14ac:dyDescent="0.2">
      <c r="E1079" s="85"/>
      <c r="AR1079" s="10"/>
      <c r="AS1079" s="10"/>
      <c r="AT1079" s="10"/>
      <c r="AU1079" s="10"/>
      <c r="AV1079" s="10"/>
      <c r="AW1079" s="10"/>
      <c r="AX1079" s="10"/>
      <c r="AY1079" s="10"/>
      <c r="AZ1079" s="10"/>
      <c r="BA1079" s="10"/>
      <c r="BB1079" s="10"/>
      <c r="BC1079" s="10"/>
      <c r="BD1079" s="10"/>
      <c r="BE1079" s="10"/>
      <c r="BF1079" s="10"/>
      <c r="BG1079" s="10"/>
      <c r="BH1079" s="10"/>
      <c r="BI1079" s="10"/>
      <c r="BJ1079" s="10"/>
      <c r="BK1079" s="10"/>
      <c r="BL1079" s="10"/>
    </row>
    <row r="1080" spans="5:64" s="8" customFormat="1" x14ac:dyDescent="0.2">
      <c r="E1080" s="85"/>
      <c r="AR1080" s="10"/>
      <c r="AS1080" s="10"/>
      <c r="AT1080" s="10"/>
      <c r="AU1080" s="10"/>
      <c r="AV1080" s="10"/>
      <c r="AW1080" s="10"/>
      <c r="AX1080" s="10"/>
      <c r="AY1080" s="10"/>
      <c r="AZ1080" s="10"/>
      <c r="BA1080" s="10"/>
      <c r="BB1080" s="10"/>
      <c r="BC1080" s="10"/>
      <c r="BD1080" s="10"/>
      <c r="BE1080" s="10"/>
      <c r="BF1080" s="10"/>
      <c r="BG1080" s="10"/>
      <c r="BH1080" s="10"/>
      <c r="BI1080" s="10"/>
      <c r="BJ1080" s="10"/>
      <c r="BK1080" s="10"/>
      <c r="BL1080" s="10"/>
    </row>
    <row r="1081" spans="5:64" s="8" customFormat="1" x14ac:dyDescent="0.2">
      <c r="E1081" s="85"/>
      <c r="AR1081" s="10"/>
      <c r="AS1081" s="10"/>
      <c r="AT1081" s="10"/>
      <c r="AU1081" s="10"/>
      <c r="AV1081" s="10"/>
      <c r="AW1081" s="10"/>
      <c r="AX1081" s="10"/>
      <c r="AY1081" s="10"/>
      <c r="AZ1081" s="10"/>
      <c r="BA1081" s="10"/>
      <c r="BB1081" s="10"/>
      <c r="BC1081" s="10"/>
      <c r="BD1081" s="10"/>
      <c r="BE1081" s="10"/>
      <c r="BF1081" s="10"/>
      <c r="BG1081" s="10"/>
      <c r="BH1081" s="10"/>
      <c r="BI1081" s="10"/>
      <c r="BJ1081" s="10"/>
      <c r="BK1081" s="10"/>
      <c r="BL1081" s="10"/>
    </row>
    <row r="1082" spans="5:64" s="8" customFormat="1" x14ac:dyDescent="0.2">
      <c r="E1082" s="85"/>
      <c r="AR1082" s="10"/>
      <c r="AS1082" s="10"/>
      <c r="AT1082" s="10"/>
      <c r="AU1082" s="10"/>
      <c r="AV1082" s="10"/>
      <c r="AW1082" s="10"/>
      <c r="AX1082" s="10"/>
      <c r="AY1082" s="10"/>
      <c r="AZ1082" s="10"/>
      <c r="BA1082" s="10"/>
      <c r="BB1082" s="10"/>
      <c r="BC1082" s="10"/>
      <c r="BD1082" s="10"/>
      <c r="BE1082" s="10"/>
      <c r="BF1082" s="10"/>
      <c r="BG1082" s="10"/>
      <c r="BH1082" s="10"/>
      <c r="BI1082" s="10"/>
      <c r="BJ1082" s="10"/>
      <c r="BK1082" s="10"/>
      <c r="BL1082" s="10"/>
    </row>
    <row r="1083" spans="5:64" s="8" customFormat="1" x14ac:dyDescent="0.2">
      <c r="E1083" s="85"/>
      <c r="AR1083" s="10"/>
      <c r="AS1083" s="10"/>
      <c r="AT1083" s="10"/>
      <c r="AU1083" s="10"/>
      <c r="AV1083" s="10"/>
      <c r="AW1083" s="10"/>
      <c r="AX1083" s="10"/>
      <c r="AY1083" s="10"/>
      <c r="AZ1083" s="10"/>
      <c r="BA1083" s="10"/>
      <c r="BB1083" s="10"/>
      <c r="BC1083" s="10"/>
      <c r="BD1083" s="10"/>
      <c r="BE1083" s="10"/>
      <c r="BF1083" s="10"/>
      <c r="BG1083" s="10"/>
      <c r="BH1083" s="10"/>
      <c r="BI1083" s="10"/>
      <c r="BJ1083" s="10"/>
      <c r="BK1083" s="10"/>
      <c r="BL1083" s="10"/>
    </row>
    <row r="1084" spans="5:64" s="8" customFormat="1" x14ac:dyDescent="0.2">
      <c r="E1084" s="85"/>
      <c r="AR1084" s="10"/>
      <c r="AS1084" s="10"/>
      <c r="AT1084" s="10"/>
      <c r="AU1084" s="10"/>
      <c r="AV1084" s="10"/>
      <c r="AW1084" s="10"/>
      <c r="AX1084" s="10"/>
      <c r="AY1084" s="10"/>
      <c r="AZ1084" s="10"/>
      <c r="BA1084" s="10"/>
      <c r="BB1084" s="10"/>
      <c r="BC1084" s="10"/>
      <c r="BD1084" s="10"/>
      <c r="BE1084" s="10"/>
      <c r="BF1084" s="10"/>
      <c r="BG1084" s="10"/>
      <c r="BH1084" s="10"/>
      <c r="BI1084" s="10"/>
      <c r="BJ1084" s="10"/>
      <c r="BK1084" s="10"/>
      <c r="BL1084" s="10"/>
    </row>
    <row r="1085" spans="5:64" s="8" customFormat="1" x14ac:dyDescent="0.2">
      <c r="E1085" s="85"/>
      <c r="AR1085" s="10"/>
      <c r="AS1085" s="10"/>
      <c r="AT1085" s="10"/>
      <c r="AU1085" s="10"/>
      <c r="AV1085" s="10"/>
      <c r="AW1085" s="10"/>
      <c r="AX1085" s="10"/>
      <c r="AY1085" s="10"/>
      <c r="AZ1085" s="10"/>
      <c r="BA1085" s="10"/>
      <c r="BB1085" s="10"/>
      <c r="BC1085" s="10"/>
      <c r="BD1085" s="10"/>
      <c r="BE1085" s="10"/>
      <c r="BF1085" s="10"/>
      <c r="BG1085" s="10"/>
      <c r="BH1085" s="10"/>
      <c r="BI1085" s="10"/>
      <c r="BJ1085" s="10"/>
      <c r="BK1085" s="10"/>
      <c r="BL1085" s="10"/>
    </row>
    <row r="1086" spans="5:64" s="8" customFormat="1" x14ac:dyDescent="0.2">
      <c r="E1086" s="85"/>
      <c r="AR1086" s="10"/>
      <c r="AS1086" s="10"/>
      <c r="AT1086" s="10"/>
      <c r="AU1086" s="10"/>
      <c r="AV1086" s="10"/>
      <c r="AW1086" s="10"/>
      <c r="AX1086" s="10"/>
      <c r="AY1086" s="10"/>
      <c r="AZ1086" s="10"/>
      <c r="BA1086" s="10"/>
      <c r="BB1086" s="10"/>
      <c r="BC1086" s="10"/>
      <c r="BD1086" s="10"/>
      <c r="BE1086" s="10"/>
      <c r="BF1086" s="10"/>
      <c r="BG1086" s="10"/>
      <c r="BH1086" s="10"/>
      <c r="BI1086" s="10"/>
      <c r="BJ1086" s="10"/>
      <c r="BK1086" s="10"/>
      <c r="BL1086" s="10"/>
    </row>
    <row r="1087" spans="5:64" s="8" customFormat="1" x14ac:dyDescent="0.2">
      <c r="E1087" s="85"/>
      <c r="AR1087" s="10"/>
      <c r="AS1087" s="10"/>
      <c r="AT1087" s="10"/>
      <c r="AU1087" s="10"/>
      <c r="AV1087" s="10"/>
      <c r="AW1087" s="10"/>
      <c r="AX1087" s="10"/>
      <c r="AY1087" s="10"/>
      <c r="AZ1087" s="10"/>
      <c r="BA1087" s="10"/>
      <c r="BB1087" s="10"/>
      <c r="BC1087" s="10"/>
      <c r="BD1087" s="10"/>
      <c r="BE1087" s="10"/>
      <c r="BF1087" s="10"/>
      <c r="BG1087" s="10"/>
      <c r="BH1087" s="10"/>
      <c r="BI1087" s="10"/>
      <c r="BJ1087" s="10"/>
      <c r="BK1087" s="10"/>
      <c r="BL1087" s="10"/>
    </row>
    <row r="1088" spans="5:64" s="8" customFormat="1" x14ac:dyDescent="0.2">
      <c r="E1088" s="85"/>
      <c r="AR1088" s="10"/>
      <c r="AS1088" s="10"/>
      <c r="AT1088" s="10"/>
      <c r="AU1088" s="10"/>
      <c r="AV1088" s="10"/>
      <c r="AW1088" s="10"/>
      <c r="AX1088" s="10"/>
      <c r="AY1088" s="10"/>
      <c r="AZ1088" s="10"/>
      <c r="BA1088" s="10"/>
      <c r="BB1088" s="10"/>
      <c r="BC1088" s="10"/>
      <c r="BD1088" s="10"/>
      <c r="BE1088" s="10"/>
      <c r="BF1088" s="10"/>
      <c r="BG1088" s="10"/>
      <c r="BH1088" s="10"/>
      <c r="BI1088" s="10"/>
      <c r="BJ1088" s="10"/>
      <c r="BK1088" s="10"/>
      <c r="BL1088" s="10"/>
    </row>
    <row r="1089" spans="5:64" s="8" customFormat="1" x14ac:dyDescent="0.2">
      <c r="E1089" s="85"/>
      <c r="AR1089" s="10"/>
      <c r="AS1089" s="10"/>
      <c r="AT1089" s="10"/>
      <c r="AU1089" s="10"/>
      <c r="AV1089" s="10"/>
      <c r="AW1089" s="10"/>
      <c r="AX1089" s="10"/>
      <c r="AY1089" s="10"/>
      <c r="AZ1089" s="10"/>
      <c r="BA1089" s="10"/>
      <c r="BB1089" s="10"/>
      <c r="BC1089" s="10"/>
      <c r="BD1089" s="10"/>
      <c r="BE1089" s="10"/>
      <c r="BF1089" s="10"/>
      <c r="BG1089" s="10"/>
      <c r="BH1089" s="10"/>
      <c r="BI1089" s="10"/>
      <c r="BJ1089" s="10"/>
      <c r="BK1089" s="10"/>
      <c r="BL1089" s="10"/>
    </row>
    <row r="1090" spans="5:64" s="8" customFormat="1" x14ac:dyDescent="0.2">
      <c r="E1090" s="85"/>
      <c r="AR1090" s="10"/>
      <c r="AS1090" s="10"/>
      <c r="AT1090" s="10"/>
      <c r="AU1090" s="10"/>
      <c r="AV1090" s="10"/>
      <c r="AW1090" s="10"/>
      <c r="AX1090" s="10"/>
      <c r="AY1090" s="10"/>
      <c r="AZ1090" s="10"/>
      <c r="BA1090" s="10"/>
      <c r="BB1090" s="10"/>
      <c r="BC1090" s="10"/>
      <c r="BD1090" s="10"/>
      <c r="BE1090" s="10"/>
      <c r="BF1090" s="10"/>
      <c r="BG1090" s="10"/>
      <c r="BH1090" s="10"/>
      <c r="BI1090" s="10"/>
      <c r="BJ1090" s="10"/>
      <c r="BK1090" s="10"/>
      <c r="BL1090" s="10"/>
    </row>
    <row r="1091" spans="5:64" s="8" customFormat="1" x14ac:dyDescent="0.2">
      <c r="E1091" s="85"/>
      <c r="AR1091" s="10"/>
      <c r="AS1091" s="10"/>
      <c r="AT1091" s="10"/>
      <c r="AU1091" s="10"/>
      <c r="AV1091" s="10"/>
      <c r="AW1091" s="10"/>
      <c r="AX1091" s="10"/>
      <c r="AY1091" s="10"/>
      <c r="AZ1091" s="10"/>
      <c r="BA1091" s="10"/>
      <c r="BB1091" s="10"/>
      <c r="BC1091" s="10"/>
      <c r="BD1091" s="10"/>
      <c r="BE1091" s="10"/>
      <c r="BF1091" s="10"/>
      <c r="BG1091" s="10"/>
      <c r="BH1091" s="10"/>
      <c r="BI1091" s="10"/>
      <c r="BJ1091" s="10"/>
      <c r="BK1091" s="10"/>
      <c r="BL1091" s="10"/>
    </row>
    <row r="1092" spans="5:64" s="8" customFormat="1" x14ac:dyDescent="0.2">
      <c r="E1092" s="85"/>
      <c r="AR1092" s="10"/>
      <c r="AS1092" s="10"/>
      <c r="AT1092" s="10"/>
      <c r="AU1092" s="10"/>
      <c r="AV1092" s="10"/>
      <c r="AW1092" s="10"/>
      <c r="AX1092" s="10"/>
      <c r="AY1092" s="10"/>
      <c r="AZ1092" s="10"/>
      <c r="BA1092" s="10"/>
      <c r="BB1092" s="10"/>
      <c r="BC1092" s="10"/>
      <c r="BD1092" s="10"/>
      <c r="BE1092" s="10"/>
      <c r="BF1092" s="10"/>
      <c r="BG1092" s="10"/>
      <c r="BH1092" s="10"/>
      <c r="BI1092" s="10"/>
      <c r="BJ1092" s="10"/>
      <c r="BK1092" s="10"/>
      <c r="BL1092" s="10"/>
    </row>
    <row r="1093" spans="5:64" s="8" customFormat="1" x14ac:dyDescent="0.2">
      <c r="E1093" s="85"/>
      <c r="AR1093" s="10"/>
      <c r="AS1093" s="10"/>
      <c r="AT1093" s="10"/>
      <c r="AU1093" s="10"/>
      <c r="AV1093" s="10"/>
      <c r="AW1093" s="10"/>
      <c r="AX1093" s="10"/>
      <c r="AY1093" s="10"/>
      <c r="AZ1093" s="10"/>
      <c r="BA1093" s="10"/>
      <c r="BB1093" s="10"/>
      <c r="BC1093" s="10"/>
      <c r="BD1093" s="10"/>
      <c r="BE1093" s="10"/>
      <c r="BF1093" s="10"/>
      <c r="BG1093" s="10"/>
      <c r="BH1093" s="10"/>
      <c r="BI1093" s="10"/>
      <c r="BJ1093" s="10"/>
      <c r="BK1093" s="10"/>
      <c r="BL1093" s="10"/>
    </row>
    <row r="1094" spans="5:64" s="8" customFormat="1" x14ac:dyDescent="0.2">
      <c r="E1094" s="85"/>
      <c r="AR1094" s="10"/>
      <c r="AS1094" s="10"/>
      <c r="AT1094" s="10"/>
      <c r="AU1094" s="10"/>
      <c r="AV1094" s="10"/>
      <c r="AW1094" s="10"/>
      <c r="AX1094" s="10"/>
      <c r="AY1094" s="10"/>
      <c r="AZ1094" s="10"/>
      <c r="BA1094" s="10"/>
      <c r="BB1094" s="10"/>
      <c r="BC1094" s="10"/>
      <c r="BD1094" s="10"/>
      <c r="BE1094" s="10"/>
      <c r="BF1094" s="10"/>
      <c r="BG1094" s="10"/>
      <c r="BH1094" s="10"/>
      <c r="BI1094" s="10"/>
      <c r="BJ1094" s="10"/>
      <c r="BK1094" s="10"/>
      <c r="BL1094" s="10"/>
    </row>
    <row r="1095" spans="5:64" s="8" customFormat="1" x14ac:dyDescent="0.2">
      <c r="E1095" s="85"/>
      <c r="AR1095" s="10"/>
      <c r="AS1095" s="10"/>
      <c r="AT1095" s="10"/>
      <c r="AU1095" s="10"/>
      <c r="AV1095" s="10"/>
      <c r="AW1095" s="10"/>
      <c r="AX1095" s="10"/>
      <c r="AY1095" s="10"/>
      <c r="AZ1095" s="10"/>
      <c r="BA1095" s="10"/>
      <c r="BB1095" s="10"/>
      <c r="BC1095" s="10"/>
      <c r="BD1095" s="10"/>
      <c r="BE1095" s="10"/>
      <c r="BF1095" s="10"/>
      <c r="BG1095" s="10"/>
      <c r="BH1095" s="10"/>
      <c r="BI1095" s="10"/>
      <c r="BJ1095" s="10"/>
      <c r="BK1095" s="10"/>
      <c r="BL1095" s="10"/>
    </row>
    <row r="1096" spans="5:64" s="8" customFormat="1" x14ac:dyDescent="0.2">
      <c r="E1096" s="85"/>
      <c r="AR1096" s="10"/>
      <c r="AS1096" s="10"/>
      <c r="AT1096" s="10"/>
      <c r="AU1096" s="10"/>
      <c r="AV1096" s="10"/>
      <c r="AW1096" s="10"/>
      <c r="AX1096" s="10"/>
      <c r="AY1096" s="10"/>
      <c r="AZ1096" s="10"/>
      <c r="BA1096" s="10"/>
      <c r="BB1096" s="10"/>
      <c r="BC1096" s="10"/>
      <c r="BD1096" s="10"/>
      <c r="BE1096" s="10"/>
      <c r="BF1096" s="10"/>
      <c r="BG1096" s="10"/>
      <c r="BH1096" s="10"/>
      <c r="BI1096" s="10"/>
      <c r="BJ1096" s="10"/>
      <c r="BK1096" s="10"/>
      <c r="BL1096" s="10"/>
    </row>
    <row r="1097" spans="5:64" s="8" customFormat="1" x14ac:dyDescent="0.2">
      <c r="E1097" s="85"/>
      <c r="AR1097" s="10"/>
      <c r="AS1097" s="10"/>
      <c r="AT1097" s="10"/>
      <c r="AU1097" s="10"/>
      <c r="AV1097" s="10"/>
      <c r="AW1097" s="10"/>
      <c r="AX1097" s="10"/>
      <c r="AY1097" s="10"/>
      <c r="AZ1097" s="10"/>
      <c r="BA1097" s="10"/>
      <c r="BB1097" s="10"/>
      <c r="BC1097" s="10"/>
      <c r="BD1097" s="10"/>
      <c r="BE1097" s="10"/>
      <c r="BF1097" s="10"/>
      <c r="BG1097" s="10"/>
      <c r="BH1097" s="10"/>
      <c r="BI1097" s="10"/>
      <c r="BJ1097" s="10"/>
      <c r="BK1097" s="10"/>
      <c r="BL1097" s="10"/>
    </row>
    <row r="1098" spans="5:64" s="8" customFormat="1" x14ac:dyDescent="0.2">
      <c r="E1098" s="85"/>
      <c r="AR1098" s="10"/>
      <c r="AS1098" s="10"/>
      <c r="AT1098" s="10"/>
      <c r="AU1098" s="10"/>
      <c r="AV1098" s="10"/>
      <c r="AW1098" s="10"/>
      <c r="AX1098" s="10"/>
      <c r="AY1098" s="10"/>
      <c r="AZ1098" s="10"/>
      <c r="BA1098" s="10"/>
      <c r="BB1098" s="10"/>
      <c r="BC1098" s="10"/>
      <c r="BD1098" s="10"/>
      <c r="BE1098" s="10"/>
      <c r="BF1098" s="10"/>
      <c r="BG1098" s="10"/>
      <c r="BH1098" s="10"/>
      <c r="BI1098" s="10"/>
      <c r="BJ1098" s="10"/>
      <c r="BK1098" s="10"/>
      <c r="BL1098" s="10"/>
    </row>
    <row r="1099" spans="5:64" s="8" customFormat="1" x14ac:dyDescent="0.2">
      <c r="E1099" s="85"/>
      <c r="AR1099" s="10"/>
      <c r="AS1099" s="10"/>
      <c r="AT1099" s="10"/>
      <c r="AU1099" s="10"/>
      <c r="AV1099" s="10"/>
      <c r="AW1099" s="10"/>
      <c r="AX1099" s="10"/>
      <c r="AY1099" s="10"/>
      <c r="AZ1099" s="10"/>
      <c r="BA1099" s="10"/>
      <c r="BB1099" s="10"/>
      <c r="BC1099" s="10"/>
      <c r="BD1099" s="10"/>
      <c r="BE1099" s="10"/>
      <c r="BF1099" s="10"/>
      <c r="BG1099" s="10"/>
      <c r="BH1099" s="10"/>
      <c r="BI1099" s="10"/>
      <c r="BJ1099" s="10"/>
      <c r="BK1099" s="10"/>
      <c r="BL1099" s="10"/>
    </row>
    <row r="1100" spans="5:64" s="8" customFormat="1" x14ac:dyDescent="0.2">
      <c r="E1100" s="85"/>
      <c r="AR1100" s="10"/>
      <c r="AS1100" s="10"/>
      <c r="AT1100" s="10"/>
      <c r="AU1100" s="10"/>
      <c r="AV1100" s="10"/>
      <c r="AW1100" s="10"/>
      <c r="AX1100" s="10"/>
      <c r="AY1100" s="10"/>
      <c r="AZ1100" s="10"/>
      <c r="BA1100" s="10"/>
      <c r="BB1100" s="10"/>
      <c r="BC1100" s="10"/>
      <c r="BD1100" s="10"/>
      <c r="BE1100" s="10"/>
      <c r="BF1100" s="10"/>
      <c r="BG1100" s="10"/>
      <c r="BH1100" s="10"/>
      <c r="BI1100" s="10"/>
      <c r="BJ1100" s="10"/>
      <c r="BK1100" s="10"/>
      <c r="BL1100" s="10"/>
    </row>
    <row r="1101" spans="5:64" s="8" customFormat="1" x14ac:dyDescent="0.2">
      <c r="E1101" s="85"/>
      <c r="AR1101" s="10"/>
      <c r="AS1101" s="10"/>
      <c r="AT1101" s="10"/>
      <c r="AU1101" s="10"/>
      <c r="AV1101" s="10"/>
      <c r="AW1101" s="10"/>
      <c r="AX1101" s="10"/>
      <c r="AY1101" s="10"/>
      <c r="AZ1101" s="10"/>
      <c r="BA1101" s="10"/>
      <c r="BB1101" s="10"/>
      <c r="BC1101" s="10"/>
      <c r="BD1101" s="10"/>
      <c r="BE1101" s="10"/>
      <c r="BF1101" s="10"/>
      <c r="BG1101" s="10"/>
      <c r="BH1101" s="10"/>
      <c r="BI1101" s="10"/>
      <c r="BJ1101" s="10"/>
      <c r="BK1101" s="10"/>
      <c r="BL1101" s="10"/>
    </row>
    <row r="1102" spans="5:64" s="8" customFormat="1" x14ac:dyDescent="0.2">
      <c r="E1102" s="85"/>
      <c r="AR1102" s="10"/>
      <c r="AS1102" s="10"/>
      <c r="AT1102" s="10"/>
      <c r="AU1102" s="10"/>
      <c r="AV1102" s="10"/>
      <c r="AW1102" s="10"/>
      <c r="AX1102" s="10"/>
      <c r="AY1102" s="10"/>
      <c r="AZ1102" s="10"/>
      <c r="BA1102" s="10"/>
      <c r="BB1102" s="10"/>
      <c r="BC1102" s="10"/>
      <c r="BD1102" s="10"/>
      <c r="BE1102" s="10"/>
      <c r="BF1102" s="10"/>
      <c r="BG1102" s="10"/>
      <c r="BH1102" s="10"/>
      <c r="BI1102" s="10"/>
      <c r="BJ1102" s="10"/>
      <c r="BK1102" s="10"/>
      <c r="BL1102" s="10"/>
    </row>
    <row r="1103" spans="5:64" s="8" customFormat="1" x14ac:dyDescent="0.2">
      <c r="E1103" s="85"/>
      <c r="AR1103" s="10"/>
      <c r="AS1103" s="10"/>
      <c r="AT1103" s="10"/>
      <c r="AU1103" s="10"/>
      <c r="AV1103" s="10"/>
      <c r="AW1103" s="10"/>
      <c r="AX1103" s="10"/>
      <c r="AY1103" s="10"/>
      <c r="AZ1103" s="10"/>
      <c r="BA1103" s="10"/>
      <c r="BB1103" s="10"/>
      <c r="BC1103" s="10"/>
      <c r="BD1103" s="10"/>
      <c r="BE1103" s="10"/>
      <c r="BF1103" s="10"/>
      <c r="BG1103" s="10"/>
      <c r="BH1103" s="10"/>
      <c r="BI1103" s="10"/>
      <c r="BJ1103" s="10"/>
      <c r="BK1103" s="10"/>
      <c r="BL1103" s="10"/>
    </row>
    <row r="1104" spans="5:64" s="8" customFormat="1" x14ac:dyDescent="0.2">
      <c r="E1104" s="85"/>
      <c r="AR1104" s="10"/>
      <c r="AS1104" s="10"/>
      <c r="AT1104" s="10"/>
      <c r="AU1104" s="10"/>
      <c r="AV1104" s="10"/>
      <c r="AW1104" s="10"/>
      <c r="AX1104" s="10"/>
      <c r="AY1104" s="10"/>
      <c r="AZ1104" s="10"/>
      <c r="BA1104" s="10"/>
      <c r="BB1104" s="10"/>
      <c r="BC1104" s="10"/>
      <c r="BD1104" s="10"/>
      <c r="BE1104" s="10"/>
      <c r="BF1104" s="10"/>
      <c r="BG1104" s="10"/>
      <c r="BH1104" s="10"/>
      <c r="BI1104" s="10"/>
      <c r="BJ1104" s="10"/>
      <c r="BK1104" s="10"/>
      <c r="BL1104" s="10"/>
    </row>
    <row r="1105" spans="5:64" s="8" customFormat="1" x14ac:dyDescent="0.2">
      <c r="E1105" s="85"/>
      <c r="AR1105" s="10"/>
      <c r="AS1105" s="10"/>
      <c r="AT1105" s="10"/>
      <c r="AU1105" s="10"/>
      <c r="AV1105" s="10"/>
      <c r="AW1105" s="10"/>
      <c r="AX1105" s="10"/>
      <c r="AY1105" s="10"/>
      <c r="AZ1105" s="10"/>
      <c r="BA1105" s="10"/>
      <c r="BB1105" s="10"/>
      <c r="BC1105" s="10"/>
      <c r="BD1105" s="10"/>
      <c r="BE1105" s="10"/>
      <c r="BF1105" s="10"/>
      <c r="BG1105" s="10"/>
      <c r="BH1105" s="10"/>
      <c r="BI1105" s="10"/>
      <c r="BJ1105" s="10"/>
      <c r="BK1105" s="10"/>
      <c r="BL1105" s="10"/>
    </row>
    <row r="1106" spans="5:64" s="8" customFormat="1" x14ac:dyDescent="0.2">
      <c r="E1106" s="85"/>
      <c r="AR1106" s="10"/>
      <c r="AS1106" s="10"/>
      <c r="AT1106" s="10"/>
      <c r="AU1106" s="10"/>
      <c r="AV1106" s="10"/>
      <c r="AW1106" s="10"/>
      <c r="AX1106" s="10"/>
      <c r="AY1106" s="10"/>
      <c r="AZ1106" s="10"/>
      <c r="BA1106" s="10"/>
      <c r="BB1106" s="10"/>
      <c r="BC1106" s="10"/>
      <c r="BD1106" s="10"/>
      <c r="BE1106" s="10"/>
      <c r="BF1106" s="10"/>
      <c r="BG1106" s="10"/>
      <c r="BH1106" s="10"/>
      <c r="BI1106" s="10"/>
      <c r="BJ1106" s="10"/>
      <c r="BK1106" s="10"/>
      <c r="BL1106" s="10"/>
    </row>
    <row r="1107" spans="5:64" s="8" customFormat="1" x14ac:dyDescent="0.2">
      <c r="E1107" s="85"/>
      <c r="AR1107" s="10"/>
      <c r="AS1107" s="10"/>
      <c r="AT1107" s="10"/>
      <c r="AU1107" s="10"/>
      <c r="AV1107" s="10"/>
      <c r="AW1107" s="10"/>
      <c r="AX1107" s="10"/>
      <c r="AY1107" s="10"/>
      <c r="AZ1107" s="10"/>
      <c r="BA1107" s="10"/>
      <c r="BB1107" s="10"/>
      <c r="BC1107" s="10"/>
      <c r="BD1107" s="10"/>
      <c r="BE1107" s="10"/>
      <c r="BF1107" s="10"/>
      <c r="BG1107" s="10"/>
      <c r="BH1107" s="10"/>
      <c r="BI1107" s="10"/>
      <c r="BJ1107" s="10"/>
      <c r="BK1107" s="10"/>
      <c r="BL1107" s="10"/>
    </row>
    <row r="1108" spans="5:64" s="8" customFormat="1" x14ac:dyDescent="0.2">
      <c r="E1108" s="85"/>
      <c r="AR1108" s="10"/>
      <c r="AS1108" s="10"/>
      <c r="AT1108" s="10"/>
      <c r="AU1108" s="10"/>
      <c r="AV1108" s="10"/>
      <c r="AW1108" s="10"/>
      <c r="AX1108" s="10"/>
      <c r="AY1108" s="10"/>
      <c r="AZ1108" s="10"/>
      <c r="BA1108" s="10"/>
      <c r="BB1108" s="10"/>
      <c r="BC1108" s="10"/>
      <c r="BD1108" s="10"/>
      <c r="BE1108" s="10"/>
      <c r="BF1108" s="10"/>
      <c r="BG1108" s="10"/>
      <c r="BH1108" s="10"/>
      <c r="BI1108" s="10"/>
      <c r="BJ1108" s="10"/>
      <c r="BK1108" s="10"/>
      <c r="BL1108" s="10"/>
    </row>
    <row r="1109" spans="5:64" s="8" customFormat="1" x14ac:dyDescent="0.2">
      <c r="E1109" s="85"/>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10"/>
    </row>
    <row r="1110" spans="5:64" s="8" customFormat="1" x14ac:dyDescent="0.2">
      <c r="E1110" s="85"/>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c r="BL1110" s="10"/>
    </row>
    <row r="1111" spans="5:64" s="8" customFormat="1" x14ac:dyDescent="0.2">
      <c r="E1111" s="85"/>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10"/>
    </row>
    <row r="1112" spans="5:64" s="8" customFormat="1" x14ac:dyDescent="0.2">
      <c r="E1112" s="85"/>
      <c r="AR1112" s="10"/>
      <c r="AS1112" s="10"/>
      <c r="AT1112" s="10"/>
      <c r="AU1112" s="10"/>
      <c r="AV1112" s="10"/>
      <c r="AW1112" s="10"/>
      <c r="AX1112" s="10"/>
      <c r="AY1112" s="10"/>
      <c r="AZ1112" s="10"/>
      <c r="BA1112" s="10"/>
      <c r="BB1112" s="10"/>
      <c r="BC1112" s="10"/>
      <c r="BD1112" s="10"/>
      <c r="BE1112" s="10"/>
      <c r="BF1112" s="10"/>
      <c r="BG1112" s="10"/>
      <c r="BH1112" s="10"/>
      <c r="BI1112" s="10"/>
      <c r="BJ1112" s="10"/>
      <c r="BK1112" s="10"/>
      <c r="BL1112" s="10"/>
    </row>
    <row r="1113" spans="5:64" s="8" customFormat="1" x14ac:dyDescent="0.2">
      <c r="E1113" s="85"/>
      <c r="AR1113" s="10"/>
      <c r="AS1113" s="10"/>
      <c r="AT1113" s="10"/>
      <c r="AU1113" s="10"/>
      <c r="AV1113" s="10"/>
      <c r="AW1113" s="10"/>
      <c r="AX1113" s="10"/>
      <c r="AY1113" s="10"/>
      <c r="AZ1113" s="10"/>
      <c r="BA1113" s="10"/>
      <c r="BB1113" s="10"/>
      <c r="BC1113" s="10"/>
      <c r="BD1113" s="10"/>
      <c r="BE1113" s="10"/>
      <c r="BF1113" s="10"/>
      <c r="BG1113" s="10"/>
      <c r="BH1113" s="10"/>
      <c r="BI1113" s="10"/>
      <c r="BJ1113" s="10"/>
      <c r="BK1113" s="10"/>
      <c r="BL1113" s="10"/>
    </row>
    <row r="1114" spans="5:64" s="8" customFormat="1" x14ac:dyDescent="0.2">
      <c r="E1114" s="85"/>
      <c r="AR1114" s="10"/>
      <c r="AS1114" s="10"/>
      <c r="AT1114" s="10"/>
      <c r="AU1114" s="10"/>
      <c r="AV1114" s="10"/>
      <c r="AW1114" s="10"/>
      <c r="AX1114" s="10"/>
      <c r="AY1114" s="10"/>
      <c r="AZ1114" s="10"/>
      <c r="BA1114" s="10"/>
      <c r="BB1114" s="10"/>
      <c r="BC1114" s="10"/>
      <c r="BD1114" s="10"/>
      <c r="BE1114" s="10"/>
      <c r="BF1114" s="10"/>
      <c r="BG1114" s="10"/>
      <c r="BH1114" s="10"/>
      <c r="BI1114" s="10"/>
      <c r="BJ1114" s="10"/>
      <c r="BK1114" s="10"/>
      <c r="BL1114" s="10"/>
    </row>
    <row r="1115" spans="5:64" s="8" customFormat="1" x14ac:dyDescent="0.2">
      <c r="E1115" s="85"/>
      <c r="AR1115" s="10"/>
      <c r="AS1115" s="10"/>
      <c r="AT1115" s="10"/>
      <c r="AU1115" s="10"/>
      <c r="AV1115" s="10"/>
      <c r="AW1115" s="10"/>
      <c r="AX1115" s="10"/>
      <c r="AY1115" s="10"/>
      <c r="AZ1115" s="10"/>
      <c r="BA1115" s="10"/>
      <c r="BB1115" s="10"/>
      <c r="BC1115" s="10"/>
      <c r="BD1115" s="10"/>
      <c r="BE1115" s="10"/>
      <c r="BF1115" s="10"/>
      <c r="BG1115" s="10"/>
      <c r="BH1115" s="10"/>
      <c r="BI1115" s="10"/>
      <c r="BJ1115" s="10"/>
      <c r="BK1115" s="10"/>
      <c r="BL1115" s="10"/>
    </row>
    <row r="1116" spans="5:64" s="8" customFormat="1" x14ac:dyDescent="0.2">
      <c r="E1116" s="85"/>
      <c r="AR1116" s="10"/>
      <c r="AS1116" s="10"/>
      <c r="AT1116" s="10"/>
      <c r="AU1116" s="10"/>
      <c r="AV1116" s="10"/>
      <c r="AW1116" s="10"/>
      <c r="AX1116" s="10"/>
      <c r="AY1116" s="10"/>
      <c r="AZ1116" s="10"/>
      <c r="BA1116" s="10"/>
      <c r="BB1116" s="10"/>
      <c r="BC1116" s="10"/>
      <c r="BD1116" s="10"/>
      <c r="BE1116" s="10"/>
      <c r="BF1116" s="10"/>
      <c r="BG1116" s="10"/>
      <c r="BH1116" s="10"/>
      <c r="BI1116" s="10"/>
      <c r="BJ1116" s="10"/>
      <c r="BK1116" s="10"/>
      <c r="BL1116" s="10"/>
    </row>
    <row r="1117" spans="5:64" s="8" customFormat="1" x14ac:dyDescent="0.2">
      <c r="E1117" s="85"/>
      <c r="AR1117" s="10"/>
      <c r="AS1117" s="10"/>
      <c r="AT1117" s="10"/>
      <c r="AU1117" s="10"/>
      <c r="AV1117" s="10"/>
      <c r="AW1117" s="10"/>
      <c r="AX1117" s="10"/>
      <c r="AY1117" s="10"/>
      <c r="AZ1117" s="10"/>
      <c r="BA1117" s="10"/>
      <c r="BB1117" s="10"/>
      <c r="BC1117" s="10"/>
      <c r="BD1117" s="10"/>
      <c r="BE1117" s="10"/>
      <c r="BF1117" s="10"/>
      <c r="BG1117" s="10"/>
      <c r="BH1117" s="10"/>
      <c r="BI1117" s="10"/>
      <c r="BJ1117" s="10"/>
      <c r="BK1117" s="10"/>
      <c r="BL1117" s="10"/>
    </row>
    <row r="1118" spans="5:64" s="8" customFormat="1" x14ac:dyDescent="0.2">
      <c r="E1118" s="85"/>
      <c r="AR1118" s="10"/>
      <c r="AS1118" s="10"/>
      <c r="AT1118" s="10"/>
      <c r="AU1118" s="10"/>
      <c r="AV1118" s="10"/>
      <c r="AW1118" s="10"/>
      <c r="AX1118" s="10"/>
      <c r="AY1118" s="10"/>
      <c r="AZ1118" s="10"/>
      <c r="BA1118" s="10"/>
      <c r="BB1118" s="10"/>
      <c r="BC1118" s="10"/>
      <c r="BD1118" s="10"/>
      <c r="BE1118" s="10"/>
      <c r="BF1118" s="10"/>
      <c r="BG1118" s="10"/>
      <c r="BH1118" s="10"/>
      <c r="BI1118" s="10"/>
      <c r="BJ1118" s="10"/>
      <c r="BK1118" s="10"/>
      <c r="BL1118" s="10"/>
    </row>
    <row r="1119" spans="5:64" s="8" customFormat="1" x14ac:dyDescent="0.2">
      <c r="E1119" s="85"/>
      <c r="AR1119" s="10"/>
      <c r="AS1119" s="10"/>
      <c r="AT1119" s="10"/>
      <c r="AU1119" s="10"/>
      <c r="AV1119" s="10"/>
      <c r="AW1119" s="10"/>
      <c r="AX1119" s="10"/>
      <c r="AY1119" s="10"/>
      <c r="AZ1119" s="10"/>
      <c r="BA1119" s="10"/>
      <c r="BB1119" s="10"/>
      <c r="BC1119" s="10"/>
      <c r="BD1119" s="10"/>
      <c r="BE1119" s="10"/>
      <c r="BF1119" s="10"/>
      <c r="BG1119" s="10"/>
      <c r="BH1119" s="10"/>
      <c r="BI1119" s="10"/>
      <c r="BJ1119" s="10"/>
      <c r="BK1119" s="10"/>
      <c r="BL1119" s="10"/>
    </row>
    <row r="1120" spans="5:64" s="8" customFormat="1" x14ac:dyDescent="0.2">
      <c r="E1120" s="85"/>
      <c r="AR1120" s="10"/>
      <c r="AS1120" s="10"/>
      <c r="AT1120" s="10"/>
      <c r="AU1120" s="10"/>
      <c r="AV1120" s="10"/>
      <c r="AW1120" s="10"/>
      <c r="AX1120" s="10"/>
      <c r="AY1120" s="10"/>
      <c r="AZ1120" s="10"/>
      <c r="BA1120" s="10"/>
      <c r="BB1120" s="10"/>
      <c r="BC1120" s="10"/>
      <c r="BD1120" s="10"/>
      <c r="BE1120" s="10"/>
      <c r="BF1120" s="10"/>
      <c r="BG1120" s="10"/>
      <c r="BH1120" s="10"/>
      <c r="BI1120" s="10"/>
      <c r="BJ1120" s="10"/>
      <c r="BK1120" s="10"/>
      <c r="BL1120" s="10"/>
    </row>
    <row r="1121" spans="5:64" s="8" customFormat="1" x14ac:dyDescent="0.2">
      <c r="E1121" s="85"/>
      <c r="AR1121" s="10"/>
      <c r="AS1121" s="10"/>
      <c r="AT1121" s="10"/>
      <c r="AU1121" s="10"/>
      <c r="AV1121" s="10"/>
      <c r="AW1121" s="10"/>
      <c r="AX1121" s="10"/>
      <c r="AY1121" s="10"/>
      <c r="AZ1121" s="10"/>
      <c r="BA1121" s="10"/>
      <c r="BB1121" s="10"/>
      <c r="BC1121" s="10"/>
      <c r="BD1121" s="10"/>
      <c r="BE1121" s="10"/>
      <c r="BF1121" s="10"/>
      <c r="BG1121" s="10"/>
      <c r="BH1121" s="10"/>
      <c r="BI1121" s="10"/>
      <c r="BJ1121" s="10"/>
      <c r="BK1121" s="10"/>
      <c r="BL1121" s="10"/>
    </row>
    <row r="1122" spans="5:64" s="8" customFormat="1" x14ac:dyDescent="0.2">
      <c r="E1122" s="85"/>
      <c r="AR1122" s="10"/>
      <c r="AS1122" s="10"/>
      <c r="AT1122" s="10"/>
      <c r="AU1122" s="10"/>
      <c r="AV1122" s="10"/>
      <c r="AW1122" s="10"/>
      <c r="AX1122" s="10"/>
      <c r="AY1122" s="10"/>
      <c r="AZ1122" s="10"/>
      <c r="BA1122" s="10"/>
      <c r="BB1122" s="10"/>
      <c r="BC1122" s="10"/>
      <c r="BD1122" s="10"/>
      <c r="BE1122" s="10"/>
      <c r="BF1122" s="10"/>
      <c r="BG1122" s="10"/>
      <c r="BH1122" s="10"/>
      <c r="BI1122" s="10"/>
      <c r="BJ1122" s="10"/>
      <c r="BK1122" s="10"/>
      <c r="BL1122" s="10"/>
    </row>
    <row r="1123" spans="5:64" s="8" customFormat="1" x14ac:dyDescent="0.2">
      <c r="E1123" s="85"/>
      <c r="AR1123" s="10"/>
      <c r="AS1123" s="10"/>
      <c r="AT1123" s="10"/>
      <c r="AU1123" s="10"/>
      <c r="AV1123" s="10"/>
      <c r="AW1123" s="10"/>
      <c r="AX1123" s="10"/>
      <c r="AY1123" s="10"/>
      <c r="AZ1123" s="10"/>
      <c r="BA1123" s="10"/>
      <c r="BB1123" s="10"/>
      <c r="BC1123" s="10"/>
      <c r="BD1123" s="10"/>
      <c r="BE1123" s="10"/>
      <c r="BF1123" s="10"/>
      <c r="BG1123" s="10"/>
      <c r="BH1123" s="10"/>
      <c r="BI1123" s="10"/>
      <c r="BJ1123" s="10"/>
      <c r="BK1123" s="10"/>
      <c r="BL1123" s="10"/>
    </row>
    <row r="1124" spans="5:64" s="8" customFormat="1" x14ac:dyDescent="0.2">
      <c r="E1124" s="85"/>
      <c r="AR1124" s="10"/>
      <c r="AS1124" s="10"/>
      <c r="AT1124" s="10"/>
      <c r="AU1124" s="10"/>
      <c r="AV1124" s="10"/>
      <c r="AW1124" s="10"/>
      <c r="AX1124" s="10"/>
      <c r="AY1124" s="10"/>
      <c r="AZ1124" s="10"/>
      <c r="BA1124" s="10"/>
      <c r="BB1124" s="10"/>
      <c r="BC1124" s="10"/>
      <c r="BD1124" s="10"/>
      <c r="BE1124" s="10"/>
      <c r="BF1124" s="10"/>
      <c r="BG1124" s="10"/>
      <c r="BH1124" s="10"/>
      <c r="BI1124" s="10"/>
      <c r="BJ1124" s="10"/>
      <c r="BK1124" s="10"/>
      <c r="BL1124" s="10"/>
    </row>
    <row r="1125" spans="5:64" s="8" customFormat="1" x14ac:dyDescent="0.2">
      <c r="E1125" s="85"/>
      <c r="AR1125" s="10"/>
      <c r="AS1125" s="10"/>
      <c r="AT1125" s="10"/>
      <c r="AU1125" s="10"/>
      <c r="AV1125" s="10"/>
      <c r="AW1125" s="10"/>
      <c r="AX1125" s="10"/>
      <c r="AY1125" s="10"/>
      <c r="AZ1125" s="10"/>
      <c r="BA1125" s="10"/>
      <c r="BB1125" s="10"/>
      <c r="BC1125" s="10"/>
      <c r="BD1125" s="10"/>
      <c r="BE1125" s="10"/>
      <c r="BF1125" s="10"/>
      <c r="BG1125" s="10"/>
      <c r="BH1125" s="10"/>
      <c r="BI1125" s="10"/>
      <c r="BJ1125" s="10"/>
      <c r="BK1125" s="10"/>
      <c r="BL1125" s="10"/>
    </row>
    <row r="1126" spans="5:64" s="8" customFormat="1" x14ac:dyDescent="0.2">
      <c r="E1126" s="85"/>
      <c r="AR1126" s="10"/>
      <c r="AS1126" s="10"/>
      <c r="AT1126" s="10"/>
      <c r="AU1126" s="10"/>
      <c r="AV1126" s="10"/>
      <c r="AW1126" s="10"/>
      <c r="AX1126" s="10"/>
      <c r="AY1126" s="10"/>
      <c r="AZ1126" s="10"/>
      <c r="BA1126" s="10"/>
      <c r="BB1126" s="10"/>
      <c r="BC1126" s="10"/>
      <c r="BD1126" s="10"/>
      <c r="BE1126" s="10"/>
      <c r="BF1126" s="10"/>
      <c r="BG1126" s="10"/>
      <c r="BH1126" s="10"/>
      <c r="BI1126" s="10"/>
      <c r="BJ1126" s="10"/>
      <c r="BK1126" s="10"/>
      <c r="BL1126" s="10"/>
    </row>
    <row r="1127" spans="5:64" s="8" customFormat="1" x14ac:dyDescent="0.2">
      <c r="E1127" s="85"/>
      <c r="AR1127" s="10"/>
      <c r="AS1127" s="10"/>
      <c r="AT1127" s="10"/>
      <c r="AU1127" s="10"/>
      <c r="AV1127" s="10"/>
      <c r="AW1127" s="10"/>
      <c r="AX1127" s="10"/>
      <c r="AY1127" s="10"/>
      <c r="AZ1127" s="10"/>
      <c r="BA1127" s="10"/>
      <c r="BB1127" s="10"/>
      <c r="BC1127" s="10"/>
      <c r="BD1127" s="10"/>
      <c r="BE1127" s="10"/>
      <c r="BF1127" s="10"/>
      <c r="BG1127" s="10"/>
      <c r="BH1127" s="10"/>
      <c r="BI1127" s="10"/>
      <c r="BJ1127" s="10"/>
      <c r="BK1127" s="10"/>
      <c r="BL1127" s="10"/>
    </row>
    <row r="1128" spans="5:64" s="8" customFormat="1" x14ac:dyDescent="0.2">
      <c r="E1128" s="85"/>
      <c r="AR1128" s="10"/>
      <c r="AS1128" s="10"/>
      <c r="AT1128" s="10"/>
      <c r="AU1128" s="10"/>
      <c r="AV1128" s="10"/>
      <c r="AW1128" s="10"/>
      <c r="AX1128" s="10"/>
      <c r="AY1128" s="10"/>
      <c r="AZ1128" s="10"/>
      <c r="BA1128" s="10"/>
      <c r="BB1128" s="10"/>
      <c r="BC1128" s="10"/>
      <c r="BD1128" s="10"/>
      <c r="BE1128" s="10"/>
      <c r="BF1128" s="10"/>
      <c r="BG1128" s="10"/>
      <c r="BH1128" s="10"/>
      <c r="BI1128" s="10"/>
      <c r="BJ1128" s="10"/>
      <c r="BK1128" s="10"/>
      <c r="BL1128" s="10"/>
    </row>
    <row r="1129" spans="5:64" s="8" customFormat="1" x14ac:dyDescent="0.2">
      <c r="E1129" s="85"/>
      <c r="AR1129" s="10"/>
      <c r="AS1129" s="10"/>
      <c r="AT1129" s="10"/>
      <c r="AU1129" s="10"/>
      <c r="AV1129" s="10"/>
      <c r="AW1129" s="10"/>
      <c r="AX1129" s="10"/>
      <c r="AY1129" s="10"/>
      <c r="AZ1129" s="10"/>
      <c r="BA1129" s="10"/>
      <c r="BB1129" s="10"/>
      <c r="BC1129" s="10"/>
      <c r="BD1129" s="10"/>
      <c r="BE1129" s="10"/>
      <c r="BF1129" s="10"/>
      <c r="BG1129" s="10"/>
      <c r="BH1129" s="10"/>
      <c r="BI1129" s="10"/>
      <c r="BJ1129" s="10"/>
      <c r="BK1129" s="10"/>
      <c r="BL1129" s="10"/>
    </row>
    <row r="1130" spans="5:64" s="8" customFormat="1" x14ac:dyDescent="0.2">
      <c r="E1130" s="85"/>
      <c r="AR1130" s="10"/>
      <c r="AS1130" s="10"/>
      <c r="AT1130" s="10"/>
      <c r="AU1130" s="10"/>
      <c r="AV1130" s="10"/>
      <c r="AW1130" s="10"/>
      <c r="AX1130" s="10"/>
      <c r="AY1130" s="10"/>
      <c r="AZ1130" s="10"/>
      <c r="BA1130" s="10"/>
      <c r="BB1130" s="10"/>
      <c r="BC1130" s="10"/>
      <c r="BD1130" s="10"/>
      <c r="BE1130" s="10"/>
      <c r="BF1130" s="10"/>
      <c r="BG1130" s="10"/>
      <c r="BH1130" s="10"/>
      <c r="BI1130" s="10"/>
      <c r="BJ1130" s="10"/>
      <c r="BK1130" s="10"/>
      <c r="BL1130" s="10"/>
    </row>
    <row r="1131" spans="5:64" s="8" customFormat="1" x14ac:dyDescent="0.2">
      <c r="E1131" s="85"/>
      <c r="AR1131" s="10"/>
      <c r="AS1131" s="10"/>
      <c r="AT1131" s="10"/>
      <c r="AU1131" s="10"/>
      <c r="AV1131" s="10"/>
      <c r="AW1131" s="10"/>
      <c r="AX1131" s="10"/>
      <c r="AY1131" s="10"/>
      <c r="AZ1131" s="10"/>
      <c r="BA1131" s="10"/>
      <c r="BB1131" s="10"/>
      <c r="BC1131" s="10"/>
      <c r="BD1131" s="10"/>
      <c r="BE1131" s="10"/>
      <c r="BF1131" s="10"/>
      <c r="BG1131" s="10"/>
      <c r="BH1131" s="10"/>
      <c r="BI1131" s="10"/>
      <c r="BJ1131" s="10"/>
      <c r="BK1131" s="10"/>
      <c r="BL1131" s="10"/>
    </row>
    <row r="1132" spans="5:64" s="8" customFormat="1" x14ac:dyDescent="0.2">
      <c r="E1132" s="85"/>
      <c r="AR1132" s="10"/>
      <c r="AS1132" s="10"/>
      <c r="AT1132" s="10"/>
      <c r="AU1132" s="10"/>
      <c r="AV1132" s="10"/>
      <c r="AW1132" s="10"/>
      <c r="AX1132" s="10"/>
      <c r="AY1132" s="10"/>
      <c r="AZ1132" s="10"/>
      <c r="BA1132" s="10"/>
      <c r="BB1132" s="10"/>
      <c r="BC1132" s="10"/>
      <c r="BD1132" s="10"/>
      <c r="BE1132" s="10"/>
      <c r="BF1132" s="10"/>
      <c r="BG1132" s="10"/>
      <c r="BH1132" s="10"/>
      <c r="BI1132" s="10"/>
      <c r="BJ1132" s="10"/>
      <c r="BK1132" s="10"/>
      <c r="BL1132" s="10"/>
    </row>
    <row r="1133" spans="5:64" s="8" customFormat="1" x14ac:dyDescent="0.2">
      <c r="E1133" s="85"/>
      <c r="AR1133" s="10"/>
      <c r="AS1133" s="10"/>
      <c r="AT1133" s="10"/>
      <c r="AU1133" s="10"/>
      <c r="AV1133" s="10"/>
      <c r="AW1133" s="10"/>
      <c r="AX1133" s="10"/>
      <c r="AY1133" s="10"/>
      <c r="AZ1133" s="10"/>
      <c r="BA1133" s="10"/>
      <c r="BB1133" s="10"/>
      <c r="BC1133" s="10"/>
      <c r="BD1133" s="10"/>
      <c r="BE1133" s="10"/>
      <c r="BF1133" s="10"/>
      <c r="BG1133" s="10"/>
      <c r="BH1133" s="10"/>
      <c r="BI1133" s="10"/>
      <c r="BJ1133" s="10"/>
      <c r="BK1133" s="10"/>
      <c r="BL1133" s="10"/>
    </row>
    <row r="1134" spans="5:64" s="8" customFormat="1" x14ac:dyDescent="0.2">
      <c r="E1134" s="85"/>
      <c r="AR1134" s="10"/>
      <c r="AS1134" s="10"/>
      <c r="AT1134" s="10"/>
      <c r="AU1134" s="10"/>
      <c r="AV1134" s="10"/>
      <c r="AW1134" s="10"/>
      <c r="AX1134" s="10"/>
      <c r="AY1134" s="10"/>
      <c r="AZ1134" s="10"/>
      <c r="BA1134" s="10"/>
      <c r="BB1134" s="10"/>
      <c r="BC1134" s="10"/>
      <c r="BD1134" s="10"/>
      <c r="BE1134" s="10"/>
      <c r="BF1134" s="10"/>
      <c r="BG1134" s="10"/>
      <c r="BH1134" s="10"/>
      <c r="BI1134" s="10"/>
      <c r="BJ1134" s="10"/>
      <c r="BK1134" s="10"/>
      <c r="BL1134" s="10"/>
    </row>
    <row r="1135" spans="5:64" s="8" customFormat="1" x14ac:dyDescent="0.2">
      <c r="E1135" s="85"/>
      <c r="AR1135" s="10"/>
      <c r="AS1135" s="10"/>
      <c r="AT1135" s="10"/>
      <c r="AU1135" s="10"/>
      <c r="AV1135" s="10"/>
      <c r="AW1135" s="10"/>
      <c r="AX1135" s="10"/>
      <c r="AY1135" s="10"/>
      <c r="AZ1135" s="10"/>
      <c r="BA1135" s="10"/>
      <c r="BB1135" s="10"/>
      <c r="BC1135" s="10"/>
      <c r="BD1135" s="10"/>
      <c r="BE1135" s="10"/>
      <c r="BF1135" s="10"/>
      <c r="BG1135" s="10"/>
      <c r="BH1135" s="10"/>
      <c r="BI1135" s="10"/>
      <c r="BJ1135" s="10"/>
      <c r="BK1135" s="10"/>
      <c r="BL1135" s="10"/>
    </row>
    <row r="1136" spans="5:64" s="8" customFormat="1" x14ac:dyDescent="0.2">
      <c r="E1136" s="85"/>
      <c r="AR1136" s="10"/>
      <c r="AS1136" s="10"/>
      <c r="AT1136" s="10"/>
      <c r="AU1136" s="10"/>
      <c r="AV1136" s="10"/>
      <c r="AW1136" s="10"/>
      <c r="AX1136" s="10"/>
      <c r="AY1136" s="10"/>
      <c r="AZ1136" s="10"/>
      <c r="BA1136" s="10"/>
      <c r="BB1136" s="10"/>
      <c r="BC1136" s="10"/>
      <c r="BD1136" s="10"/>
      <c r="BE1136" s="10"/>
      <c r="BF1136" s="10"/>
      <c r="BG1136" s="10"/>
      <c r="BH1136" s="10"/>
      <c r="BI1136" s="10"/>
      <c r="BJ1136" s="10"/>
      <c r="BK1136" s="10"/>
      <c r="BL1136" s="10"/>
    </row>
    <row r="1137" spans="5:64" s="8" customFormat="1" x14ac:dyDescent="0.2">
      <c r="E1137" s="85"/>
      <c r="AR1137" s="10"/>
      <c r="AS1137" s="10"/>
      <c r="AT1137" s="10"/>
      <c r="AU1137" s="10"/>
      <c r="AV1137" s="10"/>
      <c r="AW1137" s="10"/>
      <c r="AX1137" s="10"/>
      <c r="AY1137" s="10"/>
      <c r="AZ1137" s="10"/>
      <c r="BA1137" s="10"/>
      <c r="BB1137" s="10"/>
      <c r="BC1137" s="10"/>
      <c r="BD1137" s="10"/>
      <c r="BE1137" s="10"/>
      <c r="BF1137" s="10"/>
      <c r="BG1137" s="10"/>
      <c r="BH1137" s="10"/>
      <c r="BI1137" s="10"/>
      <c r="BJ1137" s="10"/>
      <c r="BK1137" s="10"/>
      <c r="BL1137" s="10"/>
    </row>
    <row r="1138" spans="5:64" s="8" customFormat="1" x14ac:dyDescent="0.2">
      <c r="E1138" s="85"/>
      <c r="AR1138" s="10"/>
      <c r="AS1138" s="10"/>
      <c r="AT1138" s="10"/>
      <c r="AU1138" s="10"/>
      <c r="AV1138" s="10"/>
      <c r="AW1138" s="10"/>
      <c r="AX1138" s="10"/>
      <c r="AY1138" s="10"/>
      <c r="AZ1138" s="10"/>
      <c r="BA1138" s="10"/>
      <c r="BB1138" s="10"/>
      <c r="BC1138" s="10"/>
      <c r="BD1138" s="10"/>
      <c r="BE1138" s="10"/>
      <c r="BF1138" s="10"/>
      <c r="BG1138" s="10"/>
      <c r="BH1138" s="10"/>
      <c r="BI1138" s="10"/>
      <c r="BJ1138" s="10"/>
      <c r="BK1138" s="10"/>
      <c r="BL1138" s="10"/>
    </row>
    <row r="1139" spans="5:64" s="8" customFormat="1" x14ac:dyDescent="0.2">
      <c r="E1139" s="85"/>
      <c r="AR1139" s="10"/>
      <c r="AS1139" s="10"/>
      <c r="AT1139" s="10"/>
      <c r="AU1139" s="10"/>
      <c r="AV1139" s="10"/>
      <c r="AW1139" s="10"/>
      <c r="AX1139" s="10"/>
      <c r="AY1139" s="10"/>
      <c r="AZ1139" s="10"/>
      <c r="BA1139" s="10"/>
      <c r="BB1139" s="10"/>
      <c r="BC1139" s="10"/>
      <c r="BD1139" s="10"/>
      <c r="BE1139" s="10"/>
      <c r="BF1139" s="10"/>
      <c r="BG1139" s="10"/>
      <c r="BH1139" s="10"/>
      <c r="BI1139" s="10"/>
      <c r="BJ1139" s="10"/>
      <c r="BK1139" s="10"/>
      <c r="BL1139" s="10"/>
    </row>
    <row r="1140" spans="5:64" s="8" customFormat="1" x14ac:dyDescent="0.2">
      <c r="E1140" s="85"/>
      <c r="AR1140" s="10"/>
      <c r="AS1140" s="10"/>
      <c r="AT1140" s="10"/>
      <c r="AU1140" s="10"/>
      <c r="AV1140" s="10"/>
      <c r="AW1140" s="10"/>
      <c r="AX1140" s="10"/>
      <c r="AY1140" s="10"/>
      <c r="AZ1140" s="10"/>
      <c r="BA1140" s="10"/>
      <c r="BB1140" s="10"/>
      <c r="BC1140" s="10"/>
      <c r="BD1140" s="10"/>
      <c r="BE1140" s="10"/>
      <c r="BF1140" s="10"/>
      <c r="BG1140" s="10"/>
      <c r="BH1140" s="10"/>
      <c r="BI1140" s="10"/>
      <c r="BJ1140" s="10"/>
      <c r="BK1140" s="10"/>
      <c r="BL1140" s="10"/>
    </row>
    <row r="1141" spans="5:64" s="8" customFormat="1" x14ac:dyDescent="0.2">
      <c r="E1141" s="85"/>
      <c r="AR1141" s="10"/>
      <c r="AS1141" s="10"/>
      <c r="AT1141" s="10"/>
      <c r="AU1141" s="10"/>
      <c r="AV1141" s="10"/>
      <c r="AW1141" s="10"/>
      <c r="AX1141" s="10"/>
      <c r="AY1141" s="10"/>
      <c r="AZ1141" s="10"/>
      <c r="BA1141" s="10"/>
      <c r="BB1141" s="10"/>
      <c r="BC1141" s="10"/>
      <c r="BD1141" s="10"/>
      <c r="BE1141" s="10"/>
      <c r="BF1141" s="10"/>
      <c r="BG1141" s="10"/>
      <c r="BH1141" s="10"/>
      <c r="BI1141" s="10"/>
      <c r="BJ1141" s="10"/>
      <c r="BK1141" s="10"/>
      <c r="BL1141" s="10"/>
    </row>
    <row r="1142" spans="5:64" s="8" customFormat="1" x14ac:dyDescent="0.2">
      <c r="E1142" s="85"/>
      <c r="AR1142" s="10"/>
      <c r="AS1142" s="10"/>
      <c r="AT1142" s="10"/>
      <c r="AU1142" s="10"/>
      <c r="AV1142" s="10"/>
      <c r="AW1142" s="10"/>
      <c r="AX1142" s="10"/>
      <c r="AY1142" s="10"/>
      <c r="AZ1142" s="10"/>
      <c r="BA1142" s="10"/>
      <c r="BB1142" s="10"/>
      <c r="BC1142" s="10"/>
      <c r="BD1142" s="10"/>
      <c r="BE1142" s="10"/>
      <c r="BF1142" s="10"/>
      <c r="BG1142" s="10"/>
      <c r="BH1142" s="10"/>
      <c r="BI1142" s="10"/>
      <c r="BJ1142" s="10"/>
      <c r="BK1142" s="10"/>
      <c r="BL1142" s="10"/>
    </row>
    <row r="1143" spans="5:64" s="8" customFormat="1" x14ac:dyDescent="0.2">
      <c r="E1143" s="85"/>
      <c r="AR1143" s="10"/>
      <c r="AS1143" s="10"/>
      <c r="AT1143" s="10"/>
      <c r="AU1143" s="10"/>
      <c r="AV1143" s="10"/>
      <c r="AW1143" s="10"/>
      <c r="AX1143" s="10"/>
      <c r="AY1143" s="10"/>
      <c r="AZ1143" s="10"/>
      <c r="BA1143" s="10"/>
      <c r="BB1143" s="10"/>
      <c r="BC1143" s="10"/>
      <c r="BD1143" s="10"/>
      <c r="BE1143" s="10"/>
      <c r="BF1143" s="10"/>
      <c r="BG1143" s="10"/>
      <c r="BH1143" s="10"/>
      <c r="BI1143" s="10"/>
      <c r="BJ1143" s="10"/>
      <c r="BK1143" s="10"/>
      <c r="BL1143" s="10"/>
    </row>
    <row r="1144" spans="5:64" s="8" customFormat="1" x14ac:dyDescent="0.2">
      <c r="E1144" s="85"/>
      <c r="AR1144" s="10"/>
      <c r="AS1144" s="10"/>
      <c r="AT1144" s="10"/>
      <c r="AU1144" s="10"/>
      <c r="AV1144" s="10"/>
      <c r="AW1144" s="10"/>
      <c r="AX1144" s="10"/>
      <c r="AY1144" s="10"/>
      <c r="AZ1144" s="10"/>
      <c r="BA1144" s="10"/>
      <c r="BB1144" s="10"/>
      <c r="BC1144" s="10"/>
      <c r="BD1144" s="10"/>
      <c r="BE1144" s="10"/>
      <c r="BF1144" s="10"/>
      <c r="BG1144" s="10"/>
      <c r="BH1144" s="10"/>
      <c r="BI1144" s="10"/>
      <c r="BJ1144" s="10"/>
      <c r="BK1144" s="10"/>
      <c r="BL1144" s="10"/>
    </row>
    <row r="1145" spans="5:64" s="8" customFormat="1" x14ac:dyDescent="0.2">
      <c r="E1145" s="85"/>
      <c r="AR1145" s="10"/>
      <c r="AS1145" s="10"/>
      <c r="AT1145" s="10"/>
      <c r="AU1145" s="10"/>
      <c r="AV1145" s="10"/>
      <c r="AW1145" s="10"/>
      <c r="AX1145" s="10"/>
      <c r="AY1145" s="10"/>
      <c r="AZ1145" s="10"/>
      <c r="BA1145" s="10"/>
      <c r="BB1145" s="10"/>
      <c r="BC1145" s="10"/>
      <c r="BD1145" s="10"/>
      <c r="BE1145" s="10"/>
      <c r="BF1145" s="10"/>
      <c r="BG1145" s="10"/>
      <c r="BH1145" s="10"/>
      <c r="BI1145" s="10"/>
      <c r="BJ1145" s="10"/>
      <c r="BK1145" s="10"/>
      <c r="BL1145" s="10"/>
    </row>
    <row r="1146" spans="5:64" s="8" customFormat="1" x14ac:dyDescent="0.2">
      <c r="E1146" s="85"/>
      <c r="AR1146" s="10"/>
      <c r="AS1146" s="10"/>
      <c r="AT1146" s="10"/>
      <c r="AU1146" s="10"/>
      <c r="AV1146" s="10"/>
      <c r="AW1146" s="10"/>
      <c r="AX1146" s="10"/>
      <c r="AY1146" s="10"/>
      <c r="AZ1146" s="10"/>
      <c r="BA1146" s="10"/>
      <c r="BB1146" s="10"/>
      <c r="BC1146" s="10"/>
      <c r="BD1146" s="10"/>
      <c r="BE1146" s="10"/>
      <c r="BF1146" s="10"/>
      <c r="BG1146" s="10"/>
      <c r="BH1146" s="10"/>
      <c r="BI1146" s="10"/>
      <c r="BJ1146" s="10"/>
      <c r="BK1146" s="10"/>
      <c r="BL1146" s="10"/>
    </row>
    <row r="1147" spans="5:64" s="8" customFormat="1" x14ac:dyDescent="0.2">
      <c r="E1147" s="85"/>
      <c r="AR1147" s="10"/>
      <c r="AS1147" s="10"/>
      <c r="AT1147" s="10"/>
      <c r="AU1147" s="10"/>
      <c r="AV1147" s="10"/>
      <c r="AW1147" s="10"/>
      <c r="AX1147" s="10"/>
      <c r="AY1147" s="10"/>
      <c r="AZ1147" s="10"/>
      <c r="BA1147" s="10"/>
      <c r="BB1147" s="10"/>
      <c r="BC1147" s="10"/>
      <c r="BD1147" s="10"/>
      <c r="BE1147" s="10"/>
      <c r="BF1147" s="10"/>
      <c r="BG1147" s="10"/>
      <c r="BH1147" s="10"/>
      <c r="BI1147" s="10"/>
      <c r="BJ1147" s="10"/>
      <c r="BK1147" s="10"/>
      <c r="BL1147" s="10"/>
    </row>
    <row r="1148" spans="5:64" s="8" customFormat="1" x14ac:dyDescent="0.2">
      <c r="E1148" s="85"/>
      <c r="AR1148" s="10"/>
      <c r="AS1148" s="10"/>
      <c r="AT1148" s="10"/>
      <c r="AU1148" s="10"/>
      <c r="AV1148" s="10"/>
      <c r="AW1148" s="10"/>
      <c r="AX1148" s="10"/>
      <c r="AY1148" s="10"/>
      <c r="AZ1148" s="10"/>
      <c r="BA1148" s="10"/>
      <c r="BB1148" s="10"/>
      <c r="BC1148" s="10"/>
      <c r="BD1148" s="10"/>
      <c r="BE1148" s="10"/>
      <c r="BF1148" s="10"/>
      <c r="BG1148" s="10"/>
      <c r="BH1148" s="10"/>
      <c r="BI1148" s="10"/>
      <c r="BJ1148" s="10"/>
      <c r="BK1148" s="10"/>
      <c r="BL1148" s="10"/>
    </row>
    <row r="1149" spans="5:64" s="8" customFormat="1" x14ac:dyDescent="0.2">
      <c r="E1149" s="85"/>
      <c r="AR1149" s="10"/>
      <c r="AS1149" s="10"/>
      <c r="AT1149" s="10"/>
      <c r="AU1149" s="10"/>
      <c r="AV1149" s="10"/>
      <c r="AW1149" s="10"/>
      <c r="AX1149" s="10"/>
      <c r="AY1149" s="10"/>
      <c r="AZ1149" s="10"/>
      <c r="BA1149" s="10"/>
      <c r="BB1149" s="10"/>
      <c r="BC1149" s="10"/>
      <c r="BD1149" s="10"/>
      <c r="BE1149" s="10"/>
      <c r="BF1149" s="10"/>
      <c r="BG1149" s="10"/>
      <c r="BH1149" s="10"/>
      <c r="BI1149" s="10"/>
      <c r="BJ1149" s="10"/>
      <c r="BK1149" s="10"/>
      <c r="BL1149" s="10"/>
    </row>
    <row r="1150" spans="5:64" s="8" customFormat="1" x14ac:dyDescent="0.2">
      <c r="E1150" s="85"/>
      <c r="AR1150" s="10"/>
      <c r="AS1150" s="10"/>
      <c r="AT1150" s="10"/>
      <c r="AU1150" s="10"/>
      <c r="AV1150" s="10"/>
      <c r="AW1150" s="10"/>
      <c r="AX1150" s="10"/>
      <c r="AY1150" s="10"/>
      <c r="AZ1150" s="10"/>
      <c r="BA1150" s="10"/>
      <c r="BB1150" s="10"/>
      <c r="BC1150" s="10"/>
      <c r="BD1150" s="10"/>
      <c r="BE1150" s="10"/>
      <c r="BF1150" s="10"/>
      <c r="BG1150" s="10"/>
      <c r="BH1150" s="10"/>
      <c r="BI1150" s="10"/>
      <c r="BJ1150" s="10"/>
      <c r="BK1150" s="10"/>
      <c r="BL1150" s="10"/>
    </row>
    <row r="1151" spans="5:64" s="8" customFormat="1" x14ac:dyDescent="0.2">
      <c r="E1151" s="85"/>
      <c r="AR1151" s="10"/>
      <c r="AS1151" s="10"/>
      <c r="AT1151" s="10"/>
      <c r="AU1151" s="10"/>
      <c r="AV1151" s="10"/>
      <c r="AW1151" s="10"/>
      <c r="AX1151" s="10"/>
      <c r="AY1151" s="10"/>
      <c r="AZ1151" s="10"/>
      <c r="BA1151" s="10"/>
      <c r="BB1151" s="10"/>
      <c r="BC1151" s="10"/>
      <c r="BD1151" s="10"/>
      <c r="BE1151" s="10"/>
      <c r="BF1151" s="10"/>
      <c r="BG1151" s="10"/>
      <c r="BH1151" s="10"/>
      <c r="BI1151" s="10"/>
      <c r="BJ1151" s="10"/>
      <c r="BK1151" s="10"/>
      <c r="BL1151" s="10"/>
    </row>
    <row r="1152" spans="5:64" s="8" customFormat="1" x14ac:dyDescent="0.2">
      <c r="E1152" s="85"/>
      <c r="AR1152" s="10"/>
      <c r="AS1152" s="10"/>
      <c r="AT1152" s="10"/>
      <c r="AU1152" s="10"/>
      <c r="AV1152" s="10"/>
      <c r="AW1152" s="10"/>
      <c r="AX1152" s="10"/>
      <c r="AY1152" s="10"/>
      <c r="AZ1152" s="10"/>
      <c r="BA1152" s="10"/>
      <c r="BB1152" s="10"/>
      <c r="BC1152" s="10"/>
      <c r="BD1152" s="10"/>
      <c r="BE1152" s="10"/>
      <c r="BF1152" s="10"/>
      <c r="BG1152" s="10"/>
      <c r="BH1152" s="10"/>
      <c r="BI1152" s="10"/>
      <c r="BJ1152" s="10"/>
      <c r="BK1152" s="10"/>
      <c r="BL1152" s="10"/>
    </row>
    <row r="1153" spans="5:64" s="8" customFormat="1" x14ac:dyDescent="0.2">
      <c r="E1153" s="85"/>
      <c r="AR1153" s="10"/>
      <c r="AS1153" s="10"/>
      <c r="AT1153" s="10"/>
      <c r="AU1153" s="10"/>
      <c r="AV1153" s="10"/>
      <c r="AW1153" s="10"/>
      <c r="AX1153" s="10"/>
      <c r="AY1153" s="10"/>
      <c r="AZ1153" s="10"/>
      <c r="BA1153" s="10"/>
      <c r="BB1153" s="10"/>
      <c r="BC1153" s="10"/>
      <c r="BD1153" s="10"/>
      <c r="BE1153" s="10"/>
      <c r="BF1153" s="10"/>
      <c r="BG1153" s="10"/>
      <c r="BH1153" s="10"/>
      <c r="BI1153" s="10"/>
      <c r="BJ1153" s="10"/>
      <c r="BK1153" s="10"/>
      <c r="BL1153" s="10"/>
    </row>
    <row r="1154" spans="5:64" s="8" customFormat="1" x14ac:dyDescent="0.2">
      <c r="E1154" s="85"/>
      <c r="AR1154" s="10"/>
      <c r="AS1154" s="10"/>
      <c r="AT1154" s="10"/>
      <c r="AU1154" s="10"/>
      <c r="AV1154" s="10"/>
      <c r="AW1154" s="10"/>
      <c r="AX1154" s="10"/>
      <c r="AY1154" s="10"/>
      <c r="AZ1154" s="10"/>
      <c r="BA1154" s="10"/>
      <c r="BB1154" s="10"/>
      <c r="BC1154" s="10"/>
      <c r="BD1154" s="10"/>
      <c r="BE1154" s="10"/>
      <c r="BF1154" s="10"/>
      <c r="BG1154" s="10"/>
      <c r="BH1154" s="10"/>
      <c r="BI1154" s="10"/>
      <c r="BJ1154" s="10"/>
      <c r="BK1154" s="10"/>
      <c r="BL1154" s="10"/>
    </row>
    <row r="1155" spans="5:64" s="8" customFormat="1" x14ac:dyDescent="0.2">
      <c r="E1155" s="85"/>
      <c r="AR1155" s="10"/>
      <c r="AS1155" s="10"/>
      <c r="AT1155" s="10"/>
      <c r="AU1155" s="10"/>
      <c r="AV1155" s="10"/>
      <c r="AW1155" s="10"/>
      <c r="AX1155" s="10"/>
      <c r="AY1155" s="10"/>
      <c r="AZ1155" s="10"/>
      <c r="BA1155" s="10"/>
      <c r="BB1155" s="10"/>
      <c r="BC1155" s="10"/>
      <c r="BD1155" s="10"/>
      <c r="BE1155" s="10"/>
      <c r="BF1155" s="10"/>
      <c r="BG1155" s="10"/>
      <c r="BH1155" s="10"/>
      <c r="BI1155" s="10"/>
      <c r="BJ1155" s="10"/>
      <c r="BK1155" s="10"/>
      <c r="BL1155" s="10"/>
    </row>
    <row r="1156" spans="5:64" s="8" customFormat="1" x14ac:dyDescent="0.2">
      <c r="E1156" s="85"/>
      <c r="AR1156" s="10"/>
      <c r="AS1156" s="10"/>
      <c r="AT1156" s="10"/>
      <c r="AU1156" s="10"/>
      <c r="AV1156" s="10"/>
      <c r="AW1156" s="10"/>
      <c r="AX1156" s="10"/>
      <c r="AY1156" s="10"/>
      <c r="AZ1156" s="10"/>
      <c r="BA1156" s="10"/>
      <c r="BB1156" s="10"/>
      <c r="BC1156" s="10"/>
      <c r="BD1156" s="10"/>
      <c r="BE1156" s="10"/>
      <c r="BF1156" s="10"/>
      <c r="BG1156" s="10"/>
      <c r="BH1156" s="10"/>
      <c r="BI1156" s="10"/>
      <c r="BJ1156" s="10"/>
      <c r="BK1156" s="10"/>
      <c r="BL1156" s="10"/>
    </row>
    <row r="1157" spans="5:64" s="8" customFormat="1" x14ac:dyDescent="0.2">
      <c r="E1157" s="85"/>
      <c r="AR1157" s="10"/>
      <c r="AS1157" s="10"/>
      <c r="AT1157" s="10"/>
      <c r="AU1157" s="10"/>
      <c r="AV1157" s="10"/>
      <c r="AW1157" s="10"/>
      <c r="AX1157" s="10"/>
      <c r="AY1157" s="10"/>
      <c r="AZ1157" s="10"/>
      <c r="BA1157" s="10"/>
      <c r="BB1157" s="10"/>
      <c r="BC1157" s="10"/>
      <c r="BD1157" s="10"/>
      <c r="BE1157" s="10"/>
      <c r="BF1157" s="10"/>
      <c r="BG1157" s="10"/>
      <c r="BH1157" s="10"/>
      <c r="BI1157" s="10"/>
      <c r="BJ1157" s="10"/>
      <c r="BK1157" s="10"/>
      <c r="BL1157" s="10"/>
    </row>
    <row r="1158" spans="5:64" s="8" customFormat="1" x14ac:dyDescent="0.2">
      <c r="E1158" s="85"/>
      <c r="AR1158" s="10"/>
      <c r="AS1158" s="10"/>
      <c r="AT1158" s="10"/>
      <c r="AU1158" s="10"/>
      <c r="AV1158" s="10"/>
      <c r="AW1158" s="10"/>
      <c r="AX1158" s="10"/>
      <c r="AY1158" s="10"/>
      <c r="AZ1158" s="10"/>
      <c r="BA1158" s="10"/>
      <c r="BB1158" s="10"/>
      <c r="BC1158" s="10"/>
      <c r="BD1158" s="10"/>
      <c r="BE1158" s="10"/>
      <c r="BF1158" s="10"/>
      <c r="BG1158" s="10"/>
      <c r="BH1158" s="10"/>
      <c r="BI1158" s="10"/>
      <c r="BJ1158" s="10"/>
      <c r="BK1158" s="10"/>
      <c r="BL1158" s="10"/>
    </row>
    <row r="1159" spans="5:64" s="8" customFormat="1" x14ac:dyDescent="0.2">
      <c r="E1159" s="85"/>
      <c r="AR1159" s="10"/>
      <c r="AS1159" s="10"/>
      <c r="AT1159" s="10"/>
      <c r="AU1159" s="10"/>
      <c r="AV1159" s="10"/>
      <c r="AW1159" s="10"/>
      <c r="AX1159" s="10"/>
      <c r="AY1159" s="10"/>
      <c r="AZ1159" s="10"/>
      <c r="BA1159" s="10"/>
      <c r="BB1159" s="10"/>
      <c r="BC1159" s="10"/>
      <c r="BD1159" s="10"/>
      <c r="BE1159" s="10"/>
      <c r="BF1159" s="10"/>
      <c r="BG1159" s="10"/>
      <c r="BH1159" s="10"/>
      <c r="BI1159" s="10"/>
      <c r="BJ1159" s="10"/>
      <c r="BK1159" s="10"/>
      <c r="BL1159" s="10"/>
    </row>
    <row r="1160" spans="5:64" s="8" customFormat="1" x14ac:dyDescent="0.2">
      <c r="E1160" s="85"/>
      <c r="AR1160" s="10"/>
      <c r="AS1160" s="10"/>
      <c r="AT1160" s="10"/>
      <c r="AU1160" s="10"/>
      <c r="AV1160" s="10"/>
      <c r="AW1160" s="10"/>
      <c r="AX1160" s="10"/>
      <c r="AY1160" s="10"/>
      <c r="AZ1160" s="10"/>
      <c r="BA1160" s="10"/>
      <c r="BB1160" s="10"/>
      <c r="BC1160" s="10"/>
      <c r="BD1160" s="10"/>
      <c r="BE1160" s="10"/>
      <c r="BF1160" s="10"/>
      <c r="BG1160" s="10"/>
      <c r="BH1160" s="10"/>
      <c r="BI1160" s="10"/>
      <c r="BJ1160" s="10"/>
      <c r="BK1160" s="10"/>
      <c r="BL1160" s="10"/>
    </row>
    <row r="1161" spans="5:64" s="8" customFormat="1" x14ac:dyDescent="0.2">
      <c r="E1161" s="85"/>
      <c r="AR1161" s="10"/>
      <c r="AS1161" s="10"/>
      <c r="AT1161" s="10"/>
      <c r="AU1161" s="10"/>
      <c r="AV1161" s="10"/>
      <c r="AW1161" s="10"/>
      <c r="AX1161" s="10"/>
      <c r="AY1161" s="10"/>
      <c r="AZ1161" s="10"/>
      <c r="BA1161" s="10"/>
      <c r="BB1161" s="10"/>
      <c r="BC1161" s="10"/>
      <c r="BD1161" s="10"/>
      <c r="BE1161" s="10"/>
      <c r="BF1161" s="10"/>
      <c r="BG1161" s="10"/>
      <c r="BH1161" s="10"/>
      <c r="BI1161" s="10"/>
      <c r="BJ1161" s="10"/>
      <c r="BK1161" s="10"/>
      <c r="BL1161" s="10"/>
    </row>
    <row r="1162" spans="5:64" s="8" customFormat="1" x14ac:dyDescent="0.2">
      <c r="E1162" s="85"/>
      <c r="AR1162" s="10"/>
      <c r="AS1162" s="10"/>
      <c r="AT1162" s="10"/>
      <c r="AU1162" s="10"/>
      <c r="AV1162" s="10"/>
      <c r="AW1162" s="10"/>
      <c r="AX1162" s="10"/>
      <c r="AY1162" s="10"/>
      <c r="AZ1162" s="10"/>
      <c r="BA1162" s="10"/>
      <c r="BB1162" s="10"/>
      <c r="BC1162" s="10"/>
      <c r="BD1162" s="10"/>
      <c r="BE1162" s="10"/>
      <c r="BF1162" s="10"/>
      <c r="BG1162" s="10"/>
      <c r="BH1162" s="10"/>
      <c r="BI1162" s="10"/>
      <c r="BJ1162" s="10"/>
      <c r="BK1162" s="10"/>
      <c r="BL1162" s="10"/>
    </row>
    <row r="1163" spans="5:64" s="8" customFormat="1" x14ac:dyDescent="0.2">
      <c r="E1163" s="85"/>
      <c r="AR1163" s="10"/>
      <c r="AS1163" s="10"/>
      <c r="AT1163" s="10"/>
      <c r="AU1163" s="10"/>
      <c r="AV1163" s="10"/>
      <c r="AW1163" s="10"/>
      <c r="AX1163" s="10"/>
      <c r="AY1163" s="10"/>
      <c r="AZ1163" s="10"/>
      <c r="BA1163" s="10"/>
      <c r="BB1163" s="10"/>
      <c r="BC1163" s="10"/>
      <c r="BD1163" s="10"/>
      <c r="BE1163" s="10"/>
      <c r="BF1163" s="10"/>
      <c r="BG1163" s="10"/>
      <c r="BH1163" s="10"/>
      <c r="BI1163" s="10"/>
      <c r="BJ1163" s="10"/>
      <c r="BK1163" s="10"/>
      <c r="BL1163" s="10"/>
    </row>
    <row r="1164" spans="5:64" s="8" customFormat="1" x14ac:dyDescent="0.2">
      <c r="E1164" s="85"/>
      <c r="AR1164" s="10"/>
      <c r="AS1164" s="10"/>
      <c r="AT1164" s="10"/>
      <c r="AU1164" s="10"/>
      <c r="AV1164" s="10"/>
      <c r="AW1164" s="10"/>
      <c r="AX1164" s="10"/>
      <c r="AY1164" s="10"/>
      <c r="AZ1164" s="10"/>
      <c r="BA1164" s="10"/>
      <c r="BB1164" s="10"/>
      <c r="BC1164" s="10"/>
      <c r="BD1164" s="10"/>
      <c r="BE1164" s="10"/>
      <c r="BF1164" s="10"/>
      <c r="BG1164" s="10"/>
      <c r="BH1164" s="10"/>
      <c r="BI1164" s="10"/>
      <c r="BJ1164" s="10"/>
      <c r="BK1164" s="10"/>
      <c r="BL1164" s="10"/>
    </row>
    <row r="1165" spans="5:64" s="8" customFormat="1" x14ac:dyDescent="0.2">
      <c r="E1165" s="85"/>
      <c r="AR1165" s="10"/>
      <c r="AS1165" s="10"/>
      <c r="AT1165" s="10"/>
      <c r="AU1165" s="10"/>
      <c r="AV1165" s="10"/>
      <c r="AW1165" s="10"/>
      <c r="AX1165" s="10"/>
      <c r="AY1165" s="10"/>
      <c r="AZ1165" s="10"/>
      <c r="BA1165" s="10"/>
      <c r="BB1165" s="10"/>
      <c r="BC1165" s="10"/>
      <c r="BD1165" s="10"/>
      <c r="BE1165" s="10"/>
      <c r="BF1165" s="10"/>
      <c r="BG1165" s="10"/>
      <c r="BH1165" s="10"/>
      <c r="BI1165" s="10"/>
      <c r="BJ1165" s="10"/>
      <c r="BK1165" s="10"/>
      <c r="BL1165" s="10"/>
    </row>
    <row r="1166" spans="5:64" s="8" customFormat="1" x14ac:dyDescent="0.2">
      <c r="E1166" s="85"/>
      <c r="AR1166" s="10"/>
      <c r="AS1166" s="10"/>
      <c r="AT1166" s="10"/>
      <c r="AU1166" s="10"/>
      <c r="AV1166" s="10"/>
      <c r="AW1166" s="10"/>
      <c r="AX1166" s="10"/>
      <c r="AY1166" s="10"/>
      <c r="AZ1166" s="10"/>
      <c r="BA1166" s="10"/>
      <c r="BB1166" s="10"/>
      <c r="BC1166" s="10"/>
      <c r="BD1166" s="10"/>
      <c r="BE1166" s="10"/>
      <c r="BF1166" s="10"/>
      <c r="BG1166" s="10"/>
      <c r="BH1166" s="10"/>
      <c r="BI1166" s="10"/>
      <c r="BJ1166" s="10"/>
      <c r="BK1166" s="10"/>
      <c r="BL1166" s="10"/>
    </row>
    <row r="1167" spans="5:64" s="8" customFormat="1" x14ac:dyDescent="0.2">
      <c r="E1167" s="85"/>
      <c r="AR1167" s="10"/>
      <c r="AS1167" s="10"/>
      <c r="AT1167" s="10"/>
      <c r="AU1167" s="10"/>
      <c r="AV1167" s="10"/>
      <c r="AW1167" s="10"/>
      <c r="AX1167" s="10"/>
      <c r="AY1167" s="10"/>
      <c r="AZ1167" s="10"/>
      <c r="BA1167" s="10"/>
      <c r="BB1167" s="10"/>
      <c r="BC1167" s="10"/>
      <c r="BD1167" s="10"/>
      <c r="BE1167" s="10"/>
      <c r="BF1167" s="10"/>
      <c r="BG1167" s="10"/>
      <c r="BH1167" s="10"/>
      <c r="BI1167" s="10"/>
      <c r="BJ1167" s="10"/>
      <c r="BK1167" s="10"/>
      <c r="BL1167" s="10"/>
    </row>
    <row r="1168" spans="5:64" s="8" customFormat="1" x14ac:dyDescent="0.2">
      <c r="E1168" s="85"/>
      <c r="AR1168" s="10"/>
      <c r="AS1168" s="10"/>
      <c r="AT1168" s="10"/>
      <c r="AU1168" s="10"/>
      <c r="AV1168" s="10"/>
      <c r="AW1168" s="10"/>
      <c r="AX1168" s="10"/>
      <c r="AY1168" s="10"/>
      <c r="AZ1168" s="10"/>
      <c r="BA1168" s="10"/>
      <c r="BB1168" s="10"/>
      <c r="BC1168" s="10"/>
      <c r="BD1168" s="10"/>
      <c r="BE1168" s="10"/>
      <c r="BF1168" s="10"/>
      <c r="BG1168" s="10"/>
      <c r="BH1168" s="10"/>
      <c r="BI1168" s="10"/>
      <c r="BJ1168" s="10"/>
      <c r="BK1168" s="10"/>
      <c r="BL1168" s="10"/>
    </row>
    <row r="1169" spans="5:64" s="8" customFormat="1" x14ac:dyDescent="0.2">
      <c r="E1169" s="85"/>
      <c r="AR1169" s="10"/>
      <c r="AS1169" s="10"/>
      <c r="AT1169" s="10"/>
      <c r="AU1169" s="10"/>
      <c r="AV1169" s="10"/>
      <c r="AW1169" s="10"/>
      <c r="AX1169" s="10"/>
      <c r="AY1169" s="10"/>
      <c r="AZ1169" s="10"/>
      <c r="BA1169" s="10"/>
      <c r="BB1169" s="10"/>
      <c r="BC1169" s="10"/>
      <c r="BD1169" s="10"/>
      <c r="BE1169" s="10"/>
      <c r="BF1169" s="10"/>
      <c r="BG1169" s="10"/>
      <c r="BH1169" s="10"/>
      <c r="BI1169" s="10"/>
      <c r="BJ1169" s="10"/>
      <c r="BK1169" s="10"/>
      <c r="BL1169" s="10"/>
    </row>
    <row r="1170" spans="5:64" s="8" customFormat="1" x14ac:dyDescent="0.2">
      <c r="E1170" s="85"/>
      <c r="AR1170" s="10"/>
      <c r="AS1170" s="10"/>
      <c r="AT1170" s="10"/>
      <c r="AU1170" s="10"/>
      <c r="AV1170" s="10"/>
      <c r="AW1170" s="10"/>
      <c r="AX1170" s="10"/>
      <c r="AY1170" s="10"/>
      <c r="AZ1170" s="10"/>
      <c r="BA1170" s="10"/>
      <c r="BB1170" s="10"/>
      <c r="BC1170" s="10"/>
      <c r="BD1170" s="10"/>
      <c r="BE1170" s="10"/>
      <c r="BF1170" s="10"/>
      <c r="BG1170" s="10"/>
      <c r="BH1170" s="10"/>
      <c r="BI1170" s="10"/>
      <c r="BJ1170" s="10"/>
      <c r="BK1170" s="10"/>
      <c r="BL1170" s="10"/>
    </row>
    <row r="1171" spans="5:64" s="8" customFormat="1" x14ac:dyDescent="0.2">
      <c r="E1171" s="85"/>
      <c r="AR1171" s="10"/>
      <c r="AS1171" s="10"/>
      <c r="AT1171" s="10"/>
      <c r="AU1171" s="10"/>
      <c r="AV1171" s="10"/>
      <c r="AW1171" s="10"/>
      <c r="AX1171" s="10"/>
      <c r="AY1171" s="10"/>
      <c r="AZ1171" s="10"/>
      <c r="BA1171" s="10"/>
      <c r="BB1171" s="10"/>
      <c r="BC1171" s="10"/>
      <c r="BD1171" s="10"/>
      <c r="BE1171" s="10"/>
      <c r="BF1171" s="10"/>
      <c r="BG1171" s="10"/>
      <c r="BH1171" s="10"/>
      <c r="BI1171" s="10"/>
      <c r="BJ1171" s="10"/>
      <c r="BK1171" s="10"/>
      <c r="BL1171" s="10"/>
    </row>
    <row r="1172" spans="5:64" s="8" customFormat="1" x14ac:dyDescent="0.2">
      <c r="E1172" s="85"/>
      <c r="AR1172" s="10"/>
      <c r="AS1172" s="10"/>
      <c r="AT1172" s="10"/>
      <c r="AU1172" s="10"/>
      <c r="AV1172" s="10"/>
      <c r="AW1172" s="10"/>
      <c r="AX1172" s="10"/>
      <c r="AY1172" s="10"/>
      <c r="AZ1172" s="10"/>
      <c r="BA1172" s="10"/>
      <c r="BB1172" s="10"/>
      <c r="BC1172" s="10"/>
      <c r="BD1172" s="10"/>
      <c r="BE1172" s="10"/>
      <c r="BF1172" s="10"/>
      <c r="BG1172" s="10"/>
      <c r="BH1172" s="10"/>
      <c r="BI1172" s="10"/>
      <c r="BJ1172" s="10"/>
      <c r="BK1172" s="10"/>
      <c r="BL1172" s="10"/>
    </row>
    <row r="1173" spans="5:64" s="8" customFormat="1" x14ac:dyDescent="0.2">
      <c r="E1173" s="85"/>
      <c r="AR1173" s="10"/>
      <c r="AS1173" s="10"/>
      <c r="AT1173" s="10"/>
      <c r="AU1173" s="10"/>
      <c r="AV1173" s="10"/>
      <c r="AW1173" s="10"/>
      <c r="AX1173" s="10"/>
      <c r="AY1173" s="10"/>
      <c r="AZ1173" s="10"/>
      <c r="BA1173" s="10"/>
      <c r="BB1173" s="10"/>
      <c r="BC1173" s="10"/>
      <c r="BD1173" s="10"/>
      <c r="BE1173" s="10"/>
      <c r="BF1173" s="10"/>
      <c r="BG1173" s="10"/>
      <c r="BH1173" s="10"/>
      <c r="BI1173" s="10"/>
      <c r="BJ1173" s="10"/>
      <c r="BK1173" s="10"/>
      <c r="BL1173" s="10"/>
    </row>
    <row r="1174" spans="5:64" s="8" customFormat="1" x14ac:dyDescent="0.2">
      <c r="E1174" s="85"/>
      <c r="AR1174" s="10"/>
      <c r="AS1174" s="10"/>
      <c r="AT1174" s="10"/>
      <c r="AU1174" s="10"/>
      <c r="AV1174" s="10"/>
      <c r="AW1174" s="10"/>
      <c r="AX1174" s="10"/>
      <c r="AY1174" s="10"/>
      <c r="AZ1174" s="10"/>
      <c r="BA1174" s="10"/>
      <c r="BB1174" s="10"/>
      <c r="BC1174" s="10"/>
      <c r="BD1174" s="10"/>
      <c r="BE1174" s="10"/>
      <c r="BF1174" s="10"/>
      <c r="BG1174" s="10"/>
      <c r="BH1174" s="10"/>
      <c r="BI1174" s="10"/>
      <c r="BJ1174" s="10"/>
      <c r="BK1174" s="10"/>
      <c r="BL1174" s="10"/>
    </row>
    <row r="1175" spans="5:64" s="8" customFormat="1" x14ac:dyDescent="0.2">
      <c r="E1175" s="85"/>
      <c r="AR1175" s="10"/>
      <c r="AS1175" s="10"/>
      <c r="AT1175" s="10"/>
      <c r="AU1175" s="10"/>
      <c r="AV1175" s="10"/>
      <c r="AW1175" s="10"/>
      <c r="AX1175" s="10"/>
      <c r="AY1175" s="10"/>
      <c r="AZ1175" s="10"/>
      <c r="BA1175" s="10"/>
      <c r="BB1175" s="10"/>
      <c r="BC1175" s="10"/>
      <c r="BD1175" s="10"/>
      <c r="BE1175" s="10"/>
      <c r="BF1175" s="10"/>
      <c r="BG1175" s="10"/>
      <c r="BH1175" s="10"/>
      <c r="BI1175" s="10"/>
      <c r="BJ1175" s="10"/>
      <c r="BK1175" s="10"/>
      <c r="BL1175" s="10"/>
    </row>
    <row r="1176" spans="5:64" s="8" customFormat="1" x14ac:dyDescent="0.2">
      <c r="E1176" s="85"/>
      <c r="AR1176" s="10"/>
      <c r="AS1176" s="10"/>
      <c r="AT1176" s="10"/>
      <c r="AU1176" s="10"/>
      <c r="AV1176" s="10"/>
      <c r="AW1176" s="10"/>
      <c r="AX1176" s="10"/>
      <c r="AY1176" s="10"/>
      <c r="AZ1176" s="10"/>
      <c r="BA1176" s="10"/>
      <c r="BB1176" s="10"/>
      <c r="BC1176" s="10"/>
      <c r="BD1176" s="10"/>
      <c r="BE1176" s="10"/>
      <c r="BF1176" s="10"/>
      <c r="BG1176" s="10"/>
      <c r="BH1176" s="10"/>
      <c r="BI1176" s="10"/>
      <c r="BJ1176" s="10"/>
      <c r="BK1176" s="10"/>
      <c r="BL1176" s="10"/>
    </row>
    <row r="1177" spans="5:64" s="8" customFormat="1" x14ac:dyDescent="0.2">
      <c r="E1177" s="85"/>
      <c r="AR1177" s="10"/>
      <c r="AS1177" s="10"/>
      <c r="AT1177" s="10"/>
      <c r="AU1177" s="10"/>
      <c r="AV1177" s="10"/>
      <c r="AW1177" s="10"/>
      <c r="AX1177" s="10"/>
      <c r="AY1177" s="10"/>
      <c r="AZ1177" s="10"/>
      <c r="BA1177" s="10"/>
      <c r="BB1177" s="10"/>
      <c r="BC1177" s="10"/>
      <c r="BD1177" s="10"/>
      <c r="BE1177" s="10"/>
      <c r="BF1177" s="10"/>
      <c r="BG1177" s="10"/>
      <c r="BH1177" s="10"/>
      <c r="BI1177" s="10"/>
      <c r="BJ1177" s="10"/>
      <c r="BK1177" s="10"/>
      <c r="BL1177" s="10"/>
    </row>
    <row r="1178" spans="5:64" s="8" customFormat="1" x14ac:dyDescent="0.2">
      <c r="E1178" s="85"/>
      <c r="AR1178" s="10"/>
      <c r="AS1178" s="10"/>
      <c r="AT1178" s="10"/>
      <c r="AU1178" s="10"/>
      <c r="AV1178" s="10"/>
      <c r="AW1178" s="10"/>
      <c r="AX1178" s="10"/>
      <c r="AY1178" s="10"/>
      <c r="AZ1178" s="10"/>
      <c r="BA1178" s="10"/>
      <c r="BB1178" s="10"/>
      <c r="BC1178" s="10"/>
      <c r="BD1178" s="10"/>
      <c r="BE1178" s="10"/>
      <c r="BF1178" s="10"/>
      <c r="BG1178" s="10"/>
      <c r="BH1178" s="10"/>
      <c r="BI1178" s="10"/>
      <c r="BJ1178" s="10"/>
      <c r="BK1178" s="10"/>
      <c r="BL1178" s="10"/>
    </row>
    <row r="1179" spans="5:64" s="8" customFormat="1" x14ac:dyDescent="0.2">
      <c r="E1179" s="85"/>
      <c r="AR1179" s="10"/>
      <c r="AS1179" s="10"/>
      <c r="AT1179" s="10"/>
      <c r="AU1179" s="10"/>
      <c r="AV1179" s="10"/>
      <c r="AW1179" s="10"/>
      <c r="AX1179" s="10"/>
      <c r="AY1179" s="10"/>
      <c r="AZ1179" s="10"/>
      <c r="BA1179" s="10"/>
      <c r="BB1179" s="10"/>
      <c r="BC1179" s="10"/>
      <c r="BD1179" s="10"/>
      <c r="BE1179" s="10"/>
      <c r="BF1179" s="10"/>
      <c r="BG1179" s="10"/>
      <c r="BH1179" s="10"/>
      <c r="BI1179" s="10"/>
      <c r="BJ1179" s="10"/>
      <c r="BK1179" s="10"/>
      <c r="BL1179" s="10"/>
    </row>
    <row r="1180" spans="5:64" s="8" customFormat="1" x14ac:dyDescent="0.2">
      <c r="E1180" s="85"/>
      <c r="AR1180" s="10"/>
      <c r="AS1180" s="10"/>
      <c r="AT1180" s="10"/>
      <c r="AU1180" s="10"/>
      <c r="AV1180" s="10"/>
      <c r="AW1180" s="10"/>
      <c r="AX1180" s="10"/>
      <c r="AY1180" s="10"/>
      <c r="AZ1180" s="10"/>
      <c r="BA1180" s="10"/>
      <c r="BB1180" s="10"/>
      <c r="BC1180" s="10"/>
      <c r="BD1180" s="10"/>
      <c r="BE1180" s="10"/>
      <c r="BF1180" s="10"/>
      <c r="BG1180" s="10"/>
      <c r="BH1180" s="10"/>
      <c r="BI1180" s="10"/>
      <c r="BJ1180" s="10"/>
      <c r="BK1180" s="10"/>
      <c r="BL1180" s="10"/>
    </row>
    <row r="1181" spans="5:64" s="8" customFormat="1" x14ac:dyDescent="0.2">
      <c r="E1181" s="85"/>
      <c r="AR1181" s="10"/>
      <c r="AS1181" s="10"/>
      <c r="AT1181" s="10"/>
      <c r="AU1181" s="10"/>
      <c r="AV1181" s="10"/>
      <c r="AW1181" s="10"/>
      <c r="AX1181" s="10"/>
      <c r="AY1181" s="10"/>
      <c r="AZ1181" s="10"/>
      <c r="BA1181" s="10"/>
      <c r="BB1181" s="10"/>
      <c r="BC1181" s="10"/>
      <c r="BD1181" s="10"/>
      <c r="BE1181" s="10"/>
      <c r="BF1181" s="10"/>
      <c r="BG1181" s="10"/>
      <c r="BH1181" s="10"/>
      <c r="BI1181" s="10"/>
      <c r="BJ1181" s="10"/>
      <c r="BK1181" s="10"/>
      <c r="BL1181" s="10"/>
    </row>
    <row r="1182" spans="5:64" s="8" customFormat="1" x14ac:dyDescent="0.2">
      <c r="E1182" s="85"/>
      <c r="AR1182" s="10"/>
      <c r="AS1182" s="10"/>
      <c r="AT1182" s="10"/>
      <c r="AU1182" s="10"/>
      <c r="AV1182" s="10"/>
      <c r="AW1182" s="10"/>
      <c r="AX1182" s="10"/>
      <c r="AY1182" s="10"/>
      <c r="AZ1182" s="10"/>
      <c r="BA1182" s="10"/>
      <c r="BB1182" s="10"/>
      <c r="BC1182" s="10"/>
      <c r="BD1182" s="10"/>
      <c r="BE1182" s="10"/>
      <c r="BF1182" s="10"/>
      <c r="BG1182" s="10"/>
      <c r="BH1182" s="10"/>
      <c r="BI1182" s="10"/>
      <c r="BJ1182" s="10"/>
      <c r="BK1182" s="10"/>
      <c r="BL1182" s="10"/>
    </row>
    <row r="1183" spans="5:64" s="8" customFormat="1" x14ac:dyDescent="0.2">
      <c r="E1183" s="85"/>
      <c r="AR1183" s="10"/>
      <c r="AS1183" s="10"/>
      <c r="AT1183" s="10"/>
      <c r="AU1183" s="10"/>
      <c r="AV1183" s="10"/>
      <c r="AW1183" s="10"/>
      <c r="AX1183" s="10"/>
      <c r="AY1183" s="10"/>
      <c r="AZ1183" s="10"/>
      <c r="BA1183" s="10"/>
      <c r="BB1183" s="10"/>
      <c r="BC1183" s="10"/>
      <c r="BD1183" s="10"/>
      <c r="BE1183" s="10"/>
      <c r="BF1183" s="10"/>
      <c r="BG1183" s="10"/>
      <c r="BH1183" s="10"/>
      <c r="BI1183" s="10"/>
      <c r="BJ1183" s="10"/>
      <c r="BK1183" s="10"/>
      <c r="BL1183" s="10"/>
    </row>
    <row r="1184" spans="5:64" s="8" customFormat="1" x14ac:dyDescent="0.2">
      <c r="E1184" s="85"/>
      <c r="AR1184" s="10"/>
      <c r="AS1184" s="10"/>
      <c r="AT1184" s="10"/>
      <c r="AU1184" s="10"/>
      <c r="AV1184" s="10"/>
      <c r="AW1184" s="10"/>
      <c r="AX1184" s="10"/>
      <c r="AY1184" s="10"/>
      <c r="AZ1184" s="10"/>
      <c r="BA1184" s="10"/>
      <c r="BB1184" s="10"/>
      <c r="BC1184" s="10"/>
      <c r="BD1184" s="10"/>
      <c r="BE1184" s="10"/>
      <c r="BF1184" s="10"/>
      <c r="BG1184" s="10"/>
      <c r="BH1184" s="10"/>
      <c r="BI1184" s="10"/>
      <c r="BJ1184" s="10"/>
      <c r="BK1184" s="10"/>
      <c r="BL1184" s="10"/>
    </row>
    <row r="1185" spans="5:64" s="8" customFormat="1" x14ac:dyDescent="0.2">
      <c r="E1185" s="85"/>
      <c r="AR1185" s="10"/>
      <c r="AS1185" s="10"/>
      <c r="AT1185" s="10"/>
      <c r="AU1185" s="10"/>
      <c r="AV1185" s="10"/>
      <c r="AW1185" s="10"/>
      <c r="AX1185" s="10"/>
      <c r="AY1185" s="10"/>
      <c r="AZ1185" s="10"/>
      <c r="BA1185" s="10"/>
      <c r="BB1185" s="10"/>
      <c r="BC1185" s="10"/>
      <c r="BD1185" s="10"/>
      <c r="BE1185" s="10"/>
      <c r="BF1185" s="10"/>
      <c r="BG1185" s="10"/>
      <c r="BH1185" s="10"/>
      <c r="BI1185" s="10"/>
      <c r="BJ1185" s="10"/>
      <c r="BK1185" s="10"/>
      <c r="BL1185" s="10"/>
    </row>
    <row r="1186" spans="5:64" s="8" customFormat="1" x14ac:dyDescent="0.2">
      <c r="E1186" s="85"/>
      <c r="AR1186" s="10"/>
      <c r="AS1186" s="10"/>
      <c r="AT1186" s="10"/>
      <c r="AU1186" s="10"/>
      <c r="AV1186" s="10"/>
      <c r="AW1186" s="10"/>
      <c r="AX1186" s="10"/>
      <c r="AY1186" s="10"/>
      <c r="AZ1186" s="10"/>
      <c r="BA1186" s="10"/>
      <c r="BB1186" s="10"/>
      <c r="BC1186" s="10"/>
      <c r="BD1186" s="10"/>
      <c r="BE1186" s="10"/>
      <c r="BF1186" s="10"/>
      <c r="BG1186" s="10"/>
      <c r="BH1186" s="10"/>
      <c r="BI1186" s="10"/>
      <c r="BJ1186" s="10"/>
      <c r="BK1186" s="10"/>
      <c r="BL1186" s="10"/>
    </row>
    <row r="1187" spans="5:64" s="8" customFormat="1" x14ac:dyDescent="0.2">
      <c r="E1187" s="85"/>
      <c r="AR1187" s="10"/>
      <c r="AS1187" s="10"/>
      <c r="AT1187" s="10"/>
      <c r="AU1187" s="10"/>
      <c r="AV1187" s="10"/>
      <c r="AW1187" s="10"/>
      <c r="AX1187" s="10"/>
      <c r="AY1187" s="10"/>
      <c r="AZ1187" s="10"/>
      <c r="BA1187" s="10"/>
      <c r="BB1187" s="10"/>
      <c r="BC1187" s="10"/>
      <c r="BD1187" s="10"/>
      <c r="BE1187" s="10"/>
      <c r="BF1187" s="10"/>
      <c r="BG1187" s="10"/>
      <c r="BH1187" s="10"/>
      <c r="BI1187" s="10"/>
      <c r="BJ1187" s="10"/>
      <c r="BK1187" s="10"/>
      <c r="BL1187" s="10"/>
    </row>
    <row r="1188" spans="5:64" s="8" customFormat="1" x14ac:dyDescent="0.2">
      <c r="E1188" s="85"/>
      <c r="AR1188" s="10"/>
      <c r="AS1188" s="10"/>
      <c r="AT1188" s="10"/>
      <c r="AU1188" s="10"/>
      <c r="AV1188" s="10"/>
      <c r="AW1188" s="10"/>
      <c r="AX1188" s="10"/>
      <c r="AY1188" s="10"/>
      <c r="AZ1188" s="10"/>
      <c r="BA1188" s="10"/>
      <c r="BB1188" s="10"/>
      <c r="BC1188" s="10"/>
      <c r="BD1188" s="10"/>
      <c r="BE1188" s="10"/>
      <c r="BF1188" s="10"/>
      <c r="BG1188" s="10"/>
      <c r="BH1188" s="10"/>
      <c r="BI1188" s="10"/>
      <c r="BJ1188" s="10"/>
      <c r="BK1188" s="10"/>
      <c r="BL1188" s="10"/>
    </row>
    <row r="1189" spans="5:64" s="8" customFormat="1" x14ac:dyDescent="0.2">
      <c r="E1189" s="85"/>
      <c r="AR1189" s="10"/>
      <c r="AS1189" s="10"/>
      <c r="AT1189" s="10"/>
      <c r="AU1189" s="10"/>
      <c r="AV1189" s="10"/>
      <c r="AW1189" s="10"/>
      <c r="AX1189" s="10"/>
      <c r="AY1189" s="10"/>
      <c r="AZ1189" s="10"/>
      <c r="BA1189" s="10"/>
      <c r="BB1189" s="10"/>
      <c r="BC1189" s="10"/>
      <c r="BD1189" s="10"/>
      <c r="BE1189" s="10"/>
      <c r="BF1189" s="10"/>
      <c r="BG1189" s="10"/>
      <c r="BH1189" s="10"/>
      <c r="BI1189" s="10"/>
      <c r="BJ1189" s="10"/>
      <c r="BK1189" s="10"/>
      <c r="BL1189" s="10"/>
    </row>
    <row r="1190" spans="5:64" s="8" customFormat="1" x14ac:dyDescent="0.2">
      <c r="E1190" s="85"/>
      <c r="AR1190" s="10"/>
      <c r="AS1190" s="10"/>
      <c r="AT1190" s="10"/>
      <c r="AU1190" s="10"/>
      <c r="AV1190" s="10"/>
      <c r="AW1190" s="10"/>
      <c r="AX1190" s="10"/>
      <c r="AY1190" s="10"/>
      <c r="AZ1190" s="10"/>
      <c r="BA1190" s="10"/>
      <c r="BB1190" s="10"/>
      <c r="BC1190" s="10"/>
      <c r="BD1190" s="10"/>
      <c r="BE1190" s="10"/>
      <c r="BF1190" s="10"/>
      <c r="BG1190" s="10"/>
      <c r="BH1190" s="10"/>
      <c r="BI1190" s="10"/>
      <c r="BJ1190" s="10"/>
      <c r="BK1190" s="10"/>
      <c r="BL1190" s="10"/>
    </row>
    <row r="1191" spans="5:64" s="8" customFormat="1" x14ac:dyDescent="0.2">
      <c r="E1191" s="85"/>
      <c r="AR1191" s="10"/>
      <c r="AS1191" s="10"/>
      <c r="AT1191" s="10"/>
      <c r="AU1191" s="10"/>
      <c r="AV1191" s="10"/>
      <c r="AW1191" s="10"/>
      <c r="AX1191" s="10"/>
      <c r="AY1191" s="10"/>
      <c r="AZ1191" s="10"/>
      <c r="BA1191" s="10"/>
      <c r="BB1191" s="10"/>
      <c r="BC1191" s="10"/>
      <c r="BD1191" s="10"/>
      <c r="BE1191" s="10"/>
      <c r="BF1191" s="10"/>
      <c r="BG1191" s="10"/>
      <c r="BH1191" s="10"/>
      <c r="BI1191" s="10"/>
      <c r="BJ1191" s="10"/>
      <c r="BK1191" s="10"/>
      <c r="BL1191" s="10"/>
    </row>
    <row r="1192" spans="5:64" s="8" customFormat="1" x14ac:dyDescent="0.2">
      <c r="E1192" s="85"/>
      <c r="AR1192" s="10"/>
      <c r="AS1192" s="10"/>
      <c r="AT1192" s="10"/>
      <c r="AU1192" s="10"/>
      <c r="AV1192" s="10"/>
      <c r="AW1192" s="10"/>
      <c r="AX1192" s="10"/>
      <c r="AY1192" s="10"/>
      <c r="AZ1192" s="10"/>
      <c r="BA1192" s="10"/>
      <c r="BB1192" s="10"/>
      <c r="BC1192" s="10"/>
      <c r="BD1192" s="10"/>
      <c r="BE1192" s="10"/>
      <c r="BF1192" s="10"/>
      <c r="BG1192" s="10"/>
      <c r="BH1192" s="10"/>
      <c r="BI1192" s="10"/>
      <c r="BJ1192" s="10"/>
      <c r="BK1192" s="10"/>
      <c r="BL1192" s="10"/>
    </row>
    <row r="1193" spans="5:64" s="8" customFormat="1" x14ac:dyDescent="0.2">
      <c r="E1193" s="85"/>
      <c r="AR1193" s="10"/>
      <c r="AS1193" s="10"/>
      <c r="AT1193" s="10"/>
      <c r="AU1193" s="10"/>
      <c r="AV1193" s="10"/>
      <c r="AW1193" s="10"/>
      <c r="AX1193" s="10"/>
      <c r="AY1193" s="10"/>
      <c r="AZ1193" s="10"/>
      <c r="BA1193" s="10"/>
      <c r="BB1193" s="10"/>
      <c r="BC1193" s="10"/>
      <c r="BD1193" s="10"/>
      <c r="BE1193" s="10"/>
      <c r="BF1193" s="10"/>
      <c r="BG1193" s="10"/>
      <c r="BH1193" s="10"/>
      <c r="BI1193" s="10"/>
      <c r="BJ1193" s="10"/>
      <c r="BK1193" s="10"/>
      <c r="BL1193" s="10"/>
    </row>
    <row r="1194" spans="5:64" s="8" customFormat="1" x14ac:dyDescent="0.2">
      <c r="E1194" s="85"/>
      <c r="AR1194" s="10"/>
      <c r="AS1194" s="10"/>
      <c r="AT1194" s="10"/>
      <c r="AU1194" s="10"/>
      <c r="AV1194" s="10"/>
      <c r="AW1194" s="10"/>
      <c r="AX1194" s="10"/>
      <c r="AY1194" s="10"/>
      <c r="AZ1194" s="10"/>
      <c r="BA1194" s="10"/>
      <c r="BB1194" s="10"/>
      <c r="BC1194" s="10"/>
      <c r="BD1194" s="10"/>
      <c r="BE1194" s="10"/>
      <c r="BF1194" s="10"/>
      <c r="BG1194" s="10"/>
      <c r="BH1194" s="10"/>
      <c r="BI1194" s="10"/>
      <c r="BJ1194" s="10"/>
      <c r="BK1194" s="10"/>
      <c r="BL1194" s="10"/>
    </row>
    <row r="1195" spans="5:64" s="8" customFormat="1" x14ac:dyDescent="0.2">
      <c r="E1195" s="85"/>
      <c r="AR1195" s="10"/>
      <c r="AS1195" s="10"/>
      <c r="AT1195" s="10"/>
      <c r="AU1195" s="10"/>
      <c r="AV1195" s="10"/>
      <c r="AW1195" s="10"/>
      <c r="AX1195" s="10"/>
      <c r="AY1195" s="10"/>
      <c r="AZ1195" s="10"/>
      <c r="BA1195" s="10"/>
      <c r="BB1195" s="10"/>
      <c r="BC1195" s="10"/>
      <c r="BD1195" s="10"/>
      <c r="BE1195" s="10"/>
      <c r="BF1195" s="10"/>
      <c r="BG1195" s="10"/>
      <c r="BH1195" s="10"/>
      <c r="BI1195" s="10"/>
      <c r="BJ1195" s="10"/>
      <c r="BK1195" s="10"/>
      <c r="BL1195" s="10"/>
    </row>
    <row r="1196" spans="5:64" s="8" customFormat="1" x14ac:dyDescent="0.2">
      <c r="E1196" s="85"/>
      <c r="AR1196" s="10"/>
      <c r="AS1196" s="10"/>
      <c r="AT1196" s="10"/>
      <c r="AU1196" s="10"/>
      <c r="AV1196" s="10"/>
      <c r="AW1196" s="10"/>
      <c r="AX1196" s="10"/>
      <c r="AY1196" s="10"/>
      <c r="AZ1196" s="10"/>
      <c r="BA1196" s="10"/>
      <c r="BB1196" s="10"/>
      <c r="BC1196" s="10"/>
      <c r="BD1196" s="10"/>
      <c r="BE1196" s="10"/>
      <c r="BF1196" s="10"/>
      <c r="BG1196" s="10"/>
      <c r="BH1196" s="10"/>
      <c r="BI1196" s="10"/>
      <c r="BJ1196" s="10"/>
      <c r="BK1196" s="10"/>
      <c r="BL1196" s="10"/>
    </row>
    <row r="1197" spans="5:64" s="8" customFormat="1" x14ac:dyDescent="0.2">
      <c r="E1197" s="85"/>
      <c r="AR1197" s="10"/>
      <c r="AS1197" s="10"/>
      <c r="AT1197" s="10"/>
      <c r="AU1197" s="10"/>
      <c r="AV1197" s="10"/>
      <c r="AW1197" s="10"/>
      <c r="AX1197" s="10"/>
      <c r="AY1197" s="10"/>
      <c r="AZ1197" s="10"/>
      <c r="BA1197" s="10"/>
      <c r="BB1197" s="10"/>
      <c r="BC1197" s="10"/>
      <c r="BD1197" s="10"/>
      <c r="BE1197" s="10"/>
      <c r="BF1197" s="10"/>
      <c r="BG1197" s="10"/>
      <c r="BH1197" s="10"/>
      <c r="BI1197" s="10"/>
      <c r="BJ1197" s="10"/>
      <c r="BK1197" s="10"/>
      <c r="BL1197" s="10"/>
    </row>
    <row r="1198" spans="5:64" s="8" customFormat="1" x14ac:dyDescent="0.2">
      <c r="E1198" s="85"/>
      <c r="AR1198" s="10"/>
      <c r="AS1198" s="10"/>
      <c r="AT1198" s="10"/>
      <c r="AU1198" s="10"/>
      <c r="AV1198" s="10"/>
      <c r="AW1198" s="10"/>
      <c r="AX1198" s="10"/>
      <c r="AY1198" s="10"/>
      <c r="AZ1198" s="10"/>
      <c r="BA1198" s="10"/>
      <c r="BB1198" s="10"/>
      <c r="BC1198" s="10"/>
      <c r="BD1198" s="10"/>
      <c r="BE1198" s="10"/>
      <c r="BF1198" s="10"/>
      <c r="BG1198" s="10"/>
      <c r="BH1198" s="10"/>
      <c r="BI1198" s="10"/>
      <c r="BJ1198" s="10"/>
      <c r="BK1198" s="10"/>
      <c r="BL1198" s="10"/>
    </row>
    <row r="1199" spans="5:64" s="8" customFormat="1" x14ac:dyDescent="0.2">
      <c r="E1199" s="85"/>
      <c r="AR1199" s="10"/>
      <c r="AS1199" s="10"/>
      <c r="AT1199" s="10"/>
      <c r="AU1199" s="10"/>
      <c r="AV1199" s="10"/>
      <c r="AW1199" s="10"/>
      <c r="AX1199" s="10"/>
      <c r="AY1199" s="10"/>
      <c r="AZ1199" s="10"/>
      <c r="BA1199" s="10"/>
      <c r="BB1199" s="10"/>
      <c r="BC1199" s="10"/>
      <c r="BD1199" s="10"/>
      <c r="BE1199" s="10"/>
      <c r="BF1199" s="10"/>
      <c r="BG1199" s="10"/>
      <c r="BH1199" s="10"/>
      <c r="BI1199" s="10"/>
      <c r="BJ1199" s="10"/>
      <c r="BK1199" s="10"/>
      <c r="BL1199" s="10"/>
    </row>
    <row r="1200" spans="5:64" s="8" customFormat="1" x14ac:dyDescent="0.2">
      <c r="E1200" s="85"/>
      <c r="AR1200" s="10"/>
      <c r="AS1200" s="10"/>
      <c r="AT1200" s="10"/>
      <c r="AU1200" s="10"/>
      <c r="AV1200" s="10"/>
      <c r="AW1200" s="10"/>
      <c r="AX1200" s="10"/>
      <c r="AY1200" s="10"/>
      <c r="AZ1200" s="10"/>
      <c r="BA1200" s="10"/>
      <c r="BB1200" s="10"/>
      <c r="BC1200" s="10"/>
      <c r="BD1200" s="10"/>
      <c r="BE1200" s="10"/>
      <c r="BF1200" s="10"/>
      <c r="BG1200" s="10"/>
      <c r="BH1200" s="10"/>
      <c r="BI1200" s="10"/>
      <c r="BJ1200" s="10"/>
      <c r="BK1200" s="10"/>
      <c r="BL1200" s="10"/>
    </row>
    <row r="1201" spans="5:64" s="8" customFormat="1" x14ac:dyDescent="0.2">
      <c r="E1201" s="85"/>
      <c r="AR1201" s="10"/>
      <c r="AS1201" s="10"/>
      <c r="AT1201" s="10"/>
      <c r="AU1201" s="10"/>
      <c r="AV1201" s="10"/>
      <c r="AW1201" s="10"/>
      <c r="AX1201" s="10"/>
      <c r="AY1201" s="10"/>
      <c r="AZ1201" s="10"/>
      <c r="BA1201" s="10"/>
      <c r="BB1201" s="10"/>
      <c r="BC1201" s="10"/>
      <c r="BD1201" s="10"/>
      <c r="BE1201" s="10"/>
      <c r="BF1201" s="10"/>
      <c r="BG1201" s="10"/>
      <c r="BH1201" s="10"/>
      <c r="BI1201" s="10"/>
      <c r="BJ1201" s="10"/>
      <c r="BK1201" s="10"/>
      <c r="BL1201" s="10"/>
    </row>
    <row r="1202" spans="5:64" s="8" customFormat="1" x14ac:dyDescent="0.2">
      <c r="E1202" s="85"/>
      <c r="AR1202" s="10"/>
      <c r="AS1202" s="10"/>
      <c r="AT1202" s="10"/>
      <c r="AU1202" s="10"/>
      <c r="AV1202" s="10"/>
      <c r="AW1202" s="10"/>
      <c r="AX1202" s="10"/>
      <c r="AY1202" s="10"/>
      <c r="AZ1202" s="10"/>
      <c r="BA1202" s="10"/>
      <c r="BB1202" s="10"/>
      <c r="BC1202" s="10"/>
      <c r="BD1202" s="10"/>
      <c r="BE1202" s="10"/>
      <c r="BF1202" s="10"/>
      <c r="BG1202" s="10"/>
      <c r="BH1202" s="10"/>
      <c r="BI1202" s="10"/>
      <c r="BJ1202" s="10"/>
      <c r="BK1202" s="10"/>
      <c r="BL1202" s="10"/>
    </row>
    <row r="1203" spans="5:64" s="8" customFormat="1" x14ac:dyDescent="0.2">
      <c r="E1203" s="85"/>
      <c r="AR1203" s="10"/>
      <c r="AS1203" s="10"/>
      <c r="AT1203" s="10"/>
      <c r="AU1203" s="10"/>
      <c r="AV1203" s="10"/>
      <c r="AW1203" s="10"/>
      <c r="AX1203" s="10"/>
      <c r="AY1203" s="10"/>
      <c r="AZ1203" s="10"/>
      <c r="BA1203" s="10"/>
      <c r="BB1203" s="10"/>
      <c r="BC1203" s="10"/>
      <c r="BD1203" s="10"/>
      <c r="BE1203" s="10"/>
      <c r="BF1203" s="10"/>
      <c r="BG1203" s="10"/>
      <c r="BH1203" s="10"/>
      <c r="BI1203" s="10"/>
      <c r="BJ1203" s="10"/>
      <c r="BK1203" s="10"/>
      <c r="BL1203" s="10"/>
    </row>
    <row r="1204" spans="5:64" s="8" customFormat="1" x14ac:dyDescent="0.2">
      <c r="E1204" s="85"/>
      <c r="AR1204" s="10"/>
      <c r="AS1204" s="10"/>
      <c r="AT1204" s="10"/>
      <c r="AU1204" s="10"/>
      <c r="AV1204" s="10"/>
      <c r="AW1204" s="10"/>
      <c r="AX1204" s="10"/>
      <c r="AY1204" s="10"/>
      <c r="AZ1204" s="10"/>
      <c r="BA1204" s="10"/>
      <c r="BB1204" s="10"/>
      <c r="BC1204" s="10"/>
      <c r="BD1204" s="10"/>
      <c r="BE1204" s="10"/>
      <c r="BF1204" s="10"/>
      <c r="BG1204" s="10"/>
      <c r="BH1204" s="10"/>
      <c r="BI1204" s="10"/>
      <c r="BJ1204" s="10"/>
      <c r="BK1204" s="10"/>
      <c r="BL1204" s="10"/>
    </row>
    <row r="1205" spans="5:64" s="8" customFormat="1" x14ac:dyDescent="0.2">
      <c r="E1205" s="85"/>
      <c r="AR1205" s="10"/>
      <c r="AS1205" s="10"/>
      <c r="AT1205" s="10"/>
      <c r="AU1205" s="10"/>
      <c r="AV1205" s="10"/>
      <c r="AW1205" s="10"/>
      <c r="AX1205" s="10"/>
      <c r="AY1205" s="10"/>
      <c r="AZ1205" s="10"/>
      <c r="BA1205" s="10"/>
      <c r="BB1205" s="10"/>
      <c r="BC1205" s="10"/>
      <c r="BD1205" s="10"/>
      <c r="BE1205" s="10"/>
      <c r="BF1205" s="10"/>
      <c r="BG1205" s="10"/>
      <c r="BH1205" s="10"/>
      <c r="BI1205" s="10"/>
      <c r="BJ1205" s="10"/>
      <c r="BK1205" s="10"/>
      <c r="BL1205" s="10"/>
    </row>
    <row r="1206" spans="5:64" s="8" customFormat="1" x14ac:dyDescent="0.2">
      <c r="E1206" s="85"/>
      <c r="AR1206" s="10"/>
      <c r="AS1206" s="10"/>
      <c r="AT1206" s="10"/>
      <c r="AU1206" s="10"/>
      <c r="AV1206" s="10"/>
      <c r="AW1206" s="10"/>
      <c r="AX1206" s="10"/>
      <c r="AY1206" s="10"/>
      <c r="AZ1206" s="10"/>
      <c r="BA1206" s="10"/>
      <c r="BB1206" s="10"/>
      <c r="BC1206" s="10"/>
      <c r="BD1206" s="10"/>
      <c r="BE1206" s="10"/>
      <c r="BF1206" s="10"/>
      <c r="BG1206" s="10"/>
      <c r="BH1206" s="10"/>
      <c r="BI1206" s="10"/>
      <c r="BJ1206" s="10"/>
      <c r="BK1206" s="10"/>
      <c r="BL1206" s="10"/>
    </row>
    <row r="1207" spans="5:64" s="8" customFormat="1" x14ac:dyDescent="0.2">
      <c r="E1207" s="85"/>
      <c r="AR1207" s="10"/>
      <c r="AS1207" s="10"/>
      <c r="AT1207" s="10"/>
      <c r="AU1207" s="10"/>
      <c r="AV1207" s="10"/>
      <c r="AW1207" s="10"/>
      <c r="AX1207" s="10"/>
      <c r="AY1207" s="10"/>
      <c r="AZ1207" s="10"/>
      <c r="BA1207" s="10"/>
      <c r="BB1207" s="10"/>
      <c r="BC1207" s="10"/>
      <c r="BD1207" s="10"/>
      <c r="BE1207" s="10"/>
      <c r="BF1207" s="10"/>
      <c r="BG1207" s="10"/>
      <c r="BH1207" s="10"/>
      <c r="BI1207" s="10"/>
      <c r="BJ1207" s="10"/>
      <c r="BK1207" s="10"/>
      <c r="BL1207" s="10"/>
    </row>
    <row r="1208" spans="5:64" s="8" customFormat="1" x14ac:dyDescent="0.2">
      <c r="E1208" s="85"/>
      <c r="AR1208" s="10"/>
      <c r="AS1208" s="10"/>
      <c r="AT1208" s="10"/>
      <c r="AU1208" s="10"/>
      <c r="AV1208" s="10"/>
      <c r="AW1208" s="10"/>
      <c r="AX1208" s="10"/>
      <c r="AY1208" s="10"/>
      <c r="AZ1208" s="10"/>
      <c r="BA1208" s="10"/>
      <c r="BB1208" s="10"/>
      <c r="BC1208" s="10"/>
      <c r="BD1208" s="10"/>
      <c r="BE1208" s="10"/>
      <c r="BF1208" s="10"/>
      <c r="BG1208" s="10"/>
      <c r="BH1208" s="10"/>
      <c r="BI1208" s="10"/>
      <c r="BJ1208" s="10"/>
      <c r="BK1208" s="10"/>
      <c r="BL1208" s="10"/>
    </row>
    <row r="1209" spans="5:64" s="8" customFormat="1" x14ac:dyDescent="0.2">
      <c r="E1209" s="85"/>
      <c r="AR1209" s="10"/>
      <c r="AS1209" s="10"/>
      <c r="AT1209" s="10"/>
      <c r="AU1209" s="10"/>
      <c r="AV1209" s="10"/>
      <c r="AW1209" s="10"/>
      <c r="AX1209" s="10"/>
      <c r="AY1209" s="10"/>
      <c r="AZ1209" s="10"/>
      <c r="BA1209" s="10"/>
      <c r="BB1209" s="10"/>
      <c r="BC1209" s="10"/>
      <c r="BD1209" s="10"/>
      <c r="BE1209" s="10"/>
      <c r="BF1209" s="10"/>
      <c r="BG1209" s="10"/>
      <c r="BH1209" s="10"/>
      <c r="BI1209" s="10"/>
      <c r="BJ1209" s="10"/>
      <c r="BK1209" s="10"/>
      <c r="BL1209" s="10"/>
    </row>
    <row r="1210" spans="5:64" s="8" customFormat="1" x14ac:dyDescent="0.2">
      <c r="E1210" s="85"/>
      <c r="AR1210" s="10"/>
      <c r="AS1210" s="10"/>
      <c r="AT1210" s="10"/>
      <c r="AU1210" s="10"/>
      <c r="AV1210" s="10"/>
      <c r="AW1210" s="10"/>
      <c r="AX1210" s="10"/>
      <c r="AY1210" s="10"/>
      <c r="AZ1210" s="10"/>
      <c r="BA1210" s="10"/>
      <c r="BB1210" s="10"/>
      <c r="BC1210" s="10"/>
      <c r="BD1210" s="10"/>
      <c r="BE1210" s="10"/>
      <c r="BF1210" s="10"/>
      <c r="BG1210" s="10"/>
      <c r="BH1210" s="10"/>
      <c r="BI1210" s="10"/>
      <c r="BJ1210" s="10"/>
      <c r="BK1210" s="10"/>
      <c r="BL1210" s="10"/>
    </row>
    <row r="1211" spans="5:64" s="8" customFormat="1" x14ac:dyDescent="0.2">
      <c r="E1211" s="85"/>
      <c r="AR1211" s="10"/>
      <c r="AS1211" s="10"/>
      <c r="AT1211" s="10"/>
      <c r="AU1211" s="10"/>
      <c r="AV1211" s="10"/>
      <c r="AW1211" s="10"/>
      <c r="AX1211" s="10"/>
      <c r="AY1211" s="10"/>
      <c r="AZ1211" s="10"/>
      <c r="BA1211" s="10"/>
      <c r="BB1211" s="10"/>
      <c r="BC1211" s="10"/>
      <c r="BD1211" s="10"/>
      <c r="BE1211" s="10"/>
      <c r="BF1211" s="10"/>
      <c r="BG1211" s="10"/>
      <c r="BH1211" s="10"/>
      <c r="BI1211" s="10"/>
      <c r="BJ1211" s="10"/>
      <c r="BK1211" s="10"/>
      <c r="BL1211" s="10"/>
    </row>
    <row r="1212" spans="5:64" s="8" customFormat="1" x14ac:dyDescent="0.2">
      <c r="E1212" s="85"/>
      <c r="AR1212" s="10"/>
      <c r="AS1212" s="10"/>
      <c r="AT1212" s="10"/>
      <c r="AU1212" s="10"/>
      <c r="AV1212" s="10"/>
      <c r="AW1212" s="10"/>
      <c r="AX1212" s="10"/>
      <c r="AY1212" s="10"/>
      <c r="AZ1212" s="10"/>
      <c r="BA1212" s="10"/>
      <c r="BB1212" s="10"/>
      <c r="BC1212" s="10"/>
      <c r="BD1212" s="10"/>
      <c r="BE1212" s="10"/>
      <c r="BF1212" s="10"/>
      <c r="BG1212" s="10"/>
      <c r="BH1212" s="10"/>
      <c r="BI1212" s="10"/>
      <c r="BJ1212" s="10"/>
      <c r="BK1212" s="10"/>
      <c r="BL1212" s="10"/>
    </row>
    <row r="1213" spans="5:64" s="8" customFormat="1" x14ac:dyDescent="0.2">
      <c r="E1213" s="85"/>
      <c r="AR1213" s="10"/>
      <c r="AS1213" s="10"/>
      <c r="AT1213" s="10"/>
      <c r="AU1213" s="10"/>
      <c r="AV1213" s="10"/>
      <c r="AW1213" s="10"/>
      <c r="AX1213" s="10"/>
      <c r="AY1213" s="10"/>
      <c r="AZ1213" s="10"/>
      <c r="BA1213" s="10"/>
      <c r="BB1213" s="10"/>
      <c r="BC1213" s="10"/>
      <c r="BD1213" s="10"/>
      <c r="BE1213" s="10"/>
      <c r="BF1213" s="10"/>
      <c r="BG1213" s="10"/>
      <c r="BH1213" s="10"/>
      <c r="BI1213" s="10"/>
      <c r="BJ1213" s="10"/>
      <c r="BK1213" s="10"/>
      <c r="BL1213" s="10"/>
    </row>
    <row r="1214" spans="5:64" s="8" customFormat="1" x14ac:dyDescent="0.2">
      <c r="E1214" s="85"/>
      <c r="AR1214" s="10"/>
      <c r="AS1214" s="10"/>
      <c r="AT1214" s="10"/>
      <c r="AU1214" s="10"/>
      <c r="AV1214" s="10"/>
      <c r="AW1214" s="10"/>
      <c r="AX1214" s="10"/>
      <c r="AY1214" s="10"/>
      <c r="AZ1214" s="10"/>
      <c r="BA1214" s="10"/>
      <c r="BB1214" s="10"/>
      <c r="BC1214" s="10"/>
      <c r="BD1214" s="10"/>
      <c r="BE1214" s="10"/>
      <c r="BF1214" s="10"/>
      <c r="BG1214" s="10"/>
      <c r="BH1214" s="10"/>
      <c r="BI1214" s="10"/>
      <c r="BJ1214" s="10"/>
      <c r="BK1214" s="10"/>
      <c r="BL1214" s="10"/>
    </row>
    <row r="1215" spans="5:64" s="8" customFormat="1" x14ac:dyDescent="0.2">
      <c r="E1215" s="85"/>
      <c r="AR1215" s="10"/>
      <c r="AS1215" s="10"/>
      <c r="AT1215" s="10"/>
      <c r="AU1215" s="10"/>
      <c r="AV1215" s="10"/>
      <c r="AW1215" s="10"/>
      <c r="AX1215" s="10"/>
      <c r="AY1215" s="10"/>
      <c r="AZ1215" s="10"/>
      <c r="BA1215" s="10"/>
      <c r="BB1215" s="10"/>
      <c r="BC1215" s="10"/>
      <c r="BD1215" s="10"/>
      <c r="BE1215" s="10"/>
      <c r="BF1215" s="10"/>
      <c r="BG1215" s="10"/>
      <c r="BH1215" s="10"/>
      <c r="BI1215" s="10"/>
      <c r="BJ1215" s="10"/>
      <c r="BK1215" s="10"/>
      <c r="BL1215" s="10"/>
    </row>
    <row r="1216" spans="5:64" s="8" customFormat="1" x14ac:dyDescent="0.2">
      <c r="E1216" s="85"/>
      <c r="AR1216" s="10"/>
      <c r="AS1216" s="10"/>
      <c r="AT1216" s="10"/>
      <c r="AU1216" s="10"/>
      <c r="AV1216" s="10"/>
      <c r="AW1216" s="10"/>
      <c r="AX1216" s="10"/>
      <c r="AY1216" s="10"/>
      <c r="AZ1216" s="10"/>
      <c r="BA1216" s="10"/>
      <c r="BB1216" s="10"/>
      <c r="BC1216" s="10"/>
      <c r="BD1216" s="10"/>
      <c r="BE1216" s="10"/>
      <c r="BF1216" s="10"/>
      <c r="BG1216" s="10"/>
      <c r="BH1216" s="10"/>
      <c r="BI1216" s="10"/>
      <c r="BJ1216" s="10"/>
      <c r="BK1216" s="10"/>
      <c r="BL1216" s="10"/>
    </row>
    <row r="1217" spans="5:64" s="8" customFormat="1" x14ac:dyDescent="0.2">
      <c r="E1217" s="85"/>
      <c r="AR1217" s="10"/>
      <c r="AS1217" s="10"/>
      <c r="AT1217" s="10"/>
      <c r="AU1217" s="10"/>
      <c r="AV1217" s="10"/>
      <c r="AW1217" s="10"/>
      <c r="AX1217" s="10"/>
      <c r="AY1217" s="10"/>
      <c r="AZ1217" s="10"/>
      <c r="BA1217" s="10"/>
      <c r="BB1217" s="10"/>
      <c r="BC1217" s="10"/>
      <c r="BD1217" s="10"/>
      <c r="BE1217" s="10"/>
      <c r="BF1217" s="10"/>
      <c r="BG1217" s="10"/>
      <c r="BH1217" s="10"/>
      <c r="BI1217" s="10"/>
      <c r="BJ1217" s="10"/>
      <c r="BK1217" s="10"/>
      <c r="BL1217" s="10"/>
    </row>
    <row r="1218" spans="5:64" s="8" customFormat="1" x14ac:dyDescent="0.2">
      <c r="E1218" s="85"/>
      <c r="AR1218" s="10"/>
      <c r="AS1218" s="10"/>
      <c r="AT1218" s="10"/>
      <c r="AU1218" s="10"/>
      <c r="AV1218" s="10"/>
      <c r="AW1218" s="10"/>
      <c r="AX1218" s="10"/>
      <c r="AY1218" s="10"/>
      <c r="AZ1218" s="10"/>
      <c r="BA1218" s="10"/>
      <c r="BB1218" s="10"/>
      <c r="BC1218" s="10"/>
      <c r="BD1218" s="10"/>
      <c r="BE1218" s="10"/>
      <c r="BF1218" s="10"/>
      <c r="BG1218" s="10"/>
      <c r="BH1218" s="10"/>
      <c r="BI1218" s="10"/>
      <c r="BJ1218" s="10"/>
      <c r="BK1218" s="10"/>
      <c r="BL1218" s="10"/>
    </row>
    <row r="1219" spans="5:64" s="8" customFormat="1" x14ac:dyDescent="0.2">
      <c r="E1219" s="85"/>
      <c r="AR1219" s="10"/>
      <c r="AS1219" s="10"/>
      <c r="AT1219" s="10"/>
      <c r="AU1219" s="10"/>
      <c r="AV1219" s="10"/>
      <c r="AW1219" s="10"/>
      <c r="AX1219" s="10"/>
      <c r="AY1219" s="10"/>
      <c r="AZ1219" s="10"/>
      <c r="BA1219" s="10"/>
      <c r="BB1219" s="10"/>
      <c r="BC1219" s="10"/>
      <c r="BD1219" s="10"/>
      <c r="BE1219" s="10"/>
      <c r="BF1219" s="10"/>
      <c r="BG1219" s="10"/>
      <c r="BH1219" s="10"/>
      <c r="BI1219" s="10"/>
      <c r="BJ1219" s="10"/>
      <c r="BK1219" s="10"/>
      <c r="BL1219" s="10"/>
    </row>
    <row r="1220" spans="5:64" s="8" customFormat="1" x14ac:dyDescent="0.2">
      <c r="E1220" s="85"/>
      <c r="AR1220" s="10"/>
      <c r="AS1220" s="10"/>
      <c r="AT1220" s="10"/>
      <c r="AU1220" s="10"/>
      <c r="AV1220" s="10"/>
      <c r="AW1220" s="10"/>
      <c r="AX1220" s="10"/>
      <c r="AY1220" s="10"/>
      <c r="AZ1220" s="10"/>
      <c r="BA1220" s="10"/>
      <c r="BB1220" s="10"/>
      <c r="BC1220" s="10"/>
      <c r="BD1220" s="10"/>
      <c r="BE1220" s="10"/>
      <c r="BF1220" s="10"/>
      <c r="BG1220" s="10"/>
      <c r="BH1220" s="10"/>
      <c r="BI1220" s="10"/>
      <c r="BJ1220" s="10"/>
      <c r="BK1220" s="10"/>
      <c r="BL1220" s="10"/>
    </row>
    <row r="1221" spans="5:64" s="8" customFormat="1" x14ac:dyDescent="0.2">
      <c r="E1221" s="85"/>
      <c r="AR1221" s="10"/>
      <c r="AS1221" s="10"/>
      <c r="AT1221" s="10"/>
      <c r="AU1221" s="10"/>
      <c r="AV1221" s="10"/>
      <c r="AW1221" s="10"/>
      <c r="AX1221" s="10"/>
      <c r="AY1221" s="10"/>
      <c r="AZ1221" s="10"/>
      <c r="BA1221" s="10"/>
      <c r="BB1221" s="10"/>
      <c r="BC1221" s="10"/>
      <c r="BD1221" s="10"/>
      <c r="BE1221" s="10"/>
      <c r="BF1221" s="10"/>
      <c r="BG1221" s="10"/>
      <c r="BH1221" s="10"/>
      <c r="BI1221" s="10"/>
      <c r="BJ1221" s="10"/>
      <c r="BK1221" s="10"/>
      <c r="BL1221" s="10"/>
    </row>
    <row r="1222" spans="5:64" s="8" customFormat="1" x14ac:dyDescent="0.2">
      <c r="E1222" s="85"/>
      <c r="AR1222" s="10"/>
      <c r="AS1222" s="10"/>
      <c r="AT1222" s="10"/>
      <c r="AU1222" s="10"/>
      <c r="AV1222" s="10"/>
      <c r="AW1222" s="10"/>
      <c r="AX1222" s="10"/>
      <c r="AY1222" s="10"/>
      <c r="AZ1222" s="10"/>
      <c r="BA1222" s="10"/>
      <c r="BB1222" s="10"/>
      <c r="BC1222" s="10"/>
      <c r="BD1222" s="10"/>
      <c r="BE1222" s="10"/>
      <c r="BF1222" s="10"/>
      <c r="BG1222" s="10"/>
      <c r="BH1222" s="10"/>
      <c r="BI1222" s="10"/>
      <c r="BJ1222" s="10"/>
      <c r="BK1222" s="10"/>
      <c r="BL1222" s="10"/>
    </row>
    <row r="1223" spans="5:64" s="8" customFormat="1" x14ac:dyDescent="0.2">
      <c r="E1223" s="85"/>
      <c r="AR1223" s="10"/>
      <c r="AS1223" s="10"/>
      <c r="AT1223" s="10"/>
      <c r="AU1223" s="10"/>
      <c r="AV1223" s="10"/>
      <c r="AW1223" s="10"/>
      <c r="AX1223" s="10"/>
      <c r="AY1223" s="10"/>
      <c r="AZ1223" s="10"/>
      <c r="BA1223" s="10"/>
      <c r="BB1223" s="10"/>
      <c r="BC1223" s="10"/>
      <c r="BD1223" s="10"/>
      <c r="BE1223" s="10"/>
      <c r="BF1223" s="10"/>
      <c r="BG1223" s="10"/>
      <c r="BH1223" s="10"/>
      <c r="BI1223" s="10"/>
      <c r="BJ1223" s="10"/>
      <c r="BK1223" s="10"/>
      <c r="BL1223" s="10"/>
    </row>
    <row r="1224" spans="5:64" s="8" customFormat="1" x14ac:dyDescent="0.2">
      <c r="E1224" s="85"/>
      <c r="AR1224" s="10"/>
      <c r="AS1224" s="10"/>
      <c r="AT1224" s="10"/>
      <c r="AU1224" s="10"/>
      <c r="AV1224" s="10"/>
      <c r="AW1224" s="10"/>
      <c r="AX1224" s="10"/>
      <c r="AY1224" s="10"/>
      <c r="AZ1224" s="10"/>
      <c r="BA1224" s="10"/>
      <c r="BB1224" s="10"/>
      <c r="BC1224" s="10"/>
      <c r="BD1224" s="10"/>
      <c r="BE1224" s="10"/>
      <c r="BF1224" s="10"/>
      <c r="BG1224" s="10"/>
      <c r="BH1224" s="10"/>
      <c r="BI1224" s="10"/>
      <c r="BJ1224" s="10"/>
      <c r="BK1224" s="10"/>
      <c r="BL1224" s="10"/>
    </row>
    <row r="1225" spans="5:64" s="8" customFormat="1" x14ac:dyDescent="0.2">
      <c r="E1225" s="85"/>
      <c r="AR1225" s="10"/>
      <c r="AS1225" s="10"/>
      <c r="AT1225" s="10"/>
      <c r="AU1225" s="10"/>
      <c r="AV1225" s="10"/>
      <c r="AW1225" s="10"/>
      <c r="AX1225" s="10"/>
      <c r="AY1225" s="10"/>
      <c r="AZ1225" s="10"/>
      <c r="BA1225" s="10"/>
      <c r="BB1225" s="10"/>
      <c r="BC1225" s="10"/>
      <c r="BD1225" s="10"/>
      <c r="BE1225" s="10"/>
      <c r="BF1225" s="10"/>
      <c r="BG1225" s="10"/>
      <c r="BH1225" s="10"/>
      <c r="BI1225" s="10"/>
      <c r="BJ1225" s="10"/>
      <c r="BK1225" s="10"/>
      <c r="BL1225" s="10"/>
    </row>
    <row r="1226" spans="5:64" s="8" customFormat="1" x14ac:dyDescent="0.2">
      <c r="E1226" s="85"/>
      <c r="AR1226" s="10"/>
      <c r="AS1226" s="10"/>
      <c r="AT1226" s="10"/>
      <c r="AU1226" s="10"/>
      <c r="AV1226" s="10"/>
      <c r="AW1226" s="10"/>
      <c r="AX1226" s="10"/>
      <c r="AY1226" s="10"/>
      <c r="AZ1226" s="10"/>
      <c r="BA1226" s="10"/>
      <c r="BB1226" s="10"/>
      <c r="BC1226" s="10"/>
      <c r="BD1226" s="10"/>
      <c r="BE1226" s="10"/>
      <c r="BF1226" s="10"/>
      <c r="BG1226" s="10"/>
      <c r="BH1226" s="10"/>
      <c r="BI1226" s="10"/>
      <c r="BJ1226" s="10"/>
      <c r="BK1226" s="10"/>
      <c r="BL1226" s="10"/>
    </row>
    <row r="1227" spans="5:64" s="8" customFormat="1" x14ac:dyDescent="0.2">
      <c r="E1227" s="85"/>
      <c r="AR1227" s="10"/>
      <c r="AS1227" s="10"/>
      <c r="AT1227" s="10"/>
      <c r="AU1227" s="10"/>
      <c r="AV1227" s="10"/>
      <c r="AW1227" s="10"/>
      <c r="AX1227" s="10"/>
      <c r="AY1227" s="10"/>
      <c r="AZ1227" s="10"/>
      <c r="BA1227" s="10"/>
      <c r="BB1227" s="10"/>
      <c r="BC1227" s="10"/>
      <c r="BD1227" s="10"/>
      <c r="BE1227" s="10"/>
      <c r="BF1227" s="10"/>
      <c r="BG1227" s="10"/>
      <c r="BH1227" s="10"/>
      <c r="BI1227" s="10"/>
      <c r="BJ1227" s="10"/>
      <c r="BK1227" s="10"/>
      <c r="BL1227" s="10"/>
    </row>
    <row r="1228" spans="5:64" s="8" customFormat="1" x14ac:dyDescent="0.2">
      <c r="E1228" s="85"/>
      <c r="AR1228" s="10"/>
      <c r="AS1228" s="10"/>
      <c r="AT1228" s="10"/>
      <c r="AU1228" s="10"/>
      <c r="AV1228" s="10"/>
      <c r="AW1228" s="10"/>
      <c r="AX1228" s="10"/>
      <c r="AY1228" s="10"/>
      <c r="AZ1228" s="10"/>
      <c r="BA1228" s="10"/>
      <c r="BB1228" s="10"/>
      <c r="BC1228" s="10"/>
      <c r="BD1228" s="10"/>
      <c r="BE1228" s="10"/>
      <c r="BF1228" s="10"/>
      <c r="BG1228" s="10"/>
      <c r="BH1228" s="10"/>
      <c r="BI1228" s="10"/>
      <c r="BJ1228" s="10"/>
      <c r="BK1228" s="10"/>
      <c r="BL1228" s="10"/>
    </row>
    <row r="1229" spans="5:64" s="8" customFormat="1" x14ac:dyDescent="0.2">
      <c r="E1229" s="85"/>
      <c r="AR1229" s="10"/>
      <c r="AS1229" s="10"/>
      <c r="AT1229" s="10"/>
      <c r="AU1229" s="10"/>
      <c r="AV1229" s="10"/>
      <c r="AW1229" s="10"/>
      <c r="AX1229" s="10"/>
      <c r="AY1229" s="10"/>
      <c r="AZ1229" s="10"/>
      <c r="BA1229" s="10"/>
      <c r="BB1229" s="10"/>
      <c r="BC1229" s="10"/>
      <c r="BD1229" s="10"/>
      <c r="BE1229" s="10"/>
      <c r="BF1229" s="10"/>
      <c r="BG1229" s="10"/>
      <c r="BH1229" s="10"/>
      <c r="BI1229" s="10"/>
      <c r="BJ1229" s="10"/>
      <c r="BK1229" s="10"/>
      <c r="BL1229" s="10"/>
    </row>
    <row r="1230" spans="5:64" s="8" customFormat="1" x14ac:dyDescent="0.2">
      <c r="E1230" s="85"/>
      <c r="AR1230" s="10"/>
      <c r="AS1230" s="10"/>
      <c r="AT1230" s="10"/>
      <c r="AU1230" s="10"/>
      <c r="AV1230" s="10"/>
      <c r="AW1230" s="10"/>
      <c r="AX1230" s="10"/>
      <c r="AY1230" s="10"/>
      <c r="AZ1230" s="10"/>
      <c r="BA1230" s="10"/>
      <c r="BB1230" s="10"/>
      <c r="BC1230" s="10"/>
      <c r="BD1230" s="10"/>
      <c r="BE1230" s="10"/>
      <c r="BF1230" s="10"/>
      <c r="BG1230" s="10"/>
      <c r="BH1230" s="10"/>
      <c r="BI1230" s="10"/>
      <c r="BJ1230" s="10"/>
      <c r="BK1230" s="10"/>
      <c r="BL1230" s="10"/>
    </row>
    <row r="1231" spans="5:64" s="8" customFormat="1" x14ac:dyDescent="0.2">
      <c r="E1231" s="85"/>
      <c r="AR1231" s="10"/>
      <c r="AS1231" s="10"/>
      <c r="AT1231" s="10"/>
      <c r="AU1231" s="10"/>
      <c r="AV1231" s="10"/>
      <c r="AW1231" s="10"/>
      <c r="AX1231" s="10"/>
      <c r="AY1231" s="10"/>
      <c r="AZ1231" s="10"/>
      <c r="BA1231" s="10"/>
      <c r="BB1231" s="10"/>
      <c r="BC1231" s="10"/>
      <c r="BD1231" s="10"/>
      <c r="BE1231" s="10"/>
      <c r="BF1231" s="10"/>
      <c r="BG1231" s="10"/>
      <c r="BH1231" s="10"/>
      <c r="BI1231" s="10"/>
      <c r="BJ1231" s="10"/>
      <c r="BK1231" s="10"/>
      <c r="BL1231" s="10"/>
    </row>
    <row r="1232" spans="5:64" s="8" customFormat="1" x14ac:dyDescent="0.2">
      <c r="E1232" s="85"/>
      <c r="AR1232" s="10"/>
      <c r="AS1232" s="10"/>
      <c r="AT1232" s="10"/>
      <c r="AU1232" s="10"/>
      <c r="AV1232" s="10"/>
      <c r="AW1232" s="10"/>
      <c r="AX1232" s="10"/>
      <c r="AY1232" s="10"/>
      <c r="AZ1232" s="10"/>
      <c r="BA1232" s="10"/>
      <c r="BB1232" s="10"/>
      <c r="BC1232" s="10"/>
      <c r="BD1232" s="10"/>
      <c r="BE1232" s="10"/>
      <c r="BF1232" s="10"/>
      <c r="BG1232" s="10"/>
      <c r="BH1232" s="10"/>
      <c r="BI1232" s="10"/>
      <c r="BJ1232" s="10"/>
      <c r="BK1232" s="10"/>
      <c r="BL1232" s="10"/>
    </row>
    <row r="1233" spans="5:64" s="8" customFormat="1" x14ac:dyDescent="0.2">
      <c r="E1233" s="85"/>
      <c r="AR1233" s="10"/>
      <c r="AS1233" s="10"/>
      <c r="AT1233" s="10"/>
      <c r="AU1233" s="10"/>
      <c r="AV1233" s="10"/>
      <c r="AW1233" s="10"/>
      <c r="AX1233" s="10"/>
      <c r="AY1233" s="10"/>
      <c r="AZ1233" s="10"/>
      <c r="BA1233" s="10"/>
      <c r="BB1233" s="10"/>
      <c r="BC1233" s="10"/>
      <c r="BD1233" s="10"/>
      <c r="BE1233" s="10"/>
      <c r="BF1233" s="10"/>
      <c r="BG1233" s="10"/>
      <c r="BH1233" s="10"/>
      <c r="BI1233" s="10"/>
      <c r="BJ1233" s="10"/>
      <c r="BK1233" s="10"/>
      <c r="BL1233" s="10"/>
    </row>
    <row r="1234" spans="5:64" s="8" customFormat="1" x14ac:dyDescent="0.2">
      <c r="E1234" s="85"/>
      <c r="AR1234" s="10"/>
      <c r="AS1234" s="10"/>
      <c r="AT1234" s="10"/>
      <c r="AU1234" s="10"/>
      <c r="AV1234" s="10"/>
      <c r="AW1234" s="10"/>
      <c r="AX1234" s="10"/>
      <c r="AY1234" s="10"/>
      <c r="AZ1234" s="10"/>
      <c r="BA1234" s="10"/>
      <c r="BB1234" s="10"/>
      <c r="BC1234" s="10"/>
      <c r="BD1234" s="10"/>
      <c r="BE1234" s="10"/>
      <c r="BF1234" s="10"/>
      <c r="BG1234" s="10"/>
      <c r="BH1234" s="10"/>
      <c r="BI1234" s="10"/>
      <c r="BJ1234" s="10"/>
      <c r="BK1234" s="10"/>
      <c r="BL1234" s="10"/>
    </row>
    <row r="1235" spans="5:64" s="8" customFormat="1" x14ac:dyDescent="0.2">
      <c r="E1235" s="85"/>
      <c r="AR1235" s="10"/>
      <c r="AS1235" s="10"/>
      <c r="AT1235" s="10"/>
      <c r="AU1235" s="10"/>
      <c r="AV1235" s="10"/>
      <c r="AW1235" s="10"/>
      <c r="AX1235" s="10"/>
      <c r="AY1235" s="10"/>
      <c r="AZ1235" s="10"/>
      <c r="BA1235" s="10"/>
      <c r="BB1235" s="10"/>
      <c r="BC1235" s="10"/>
      <c r="BD1235" s="10"/>
      <c r="BE1235" s="10"/>
      <c r="BF1235" s="10"/>
      <c r="BG1235" s="10"/>
      <c r="BH1235" s="10"/>
      <c r="BI1235" s="10"/>
      <c r="BJ1235" s="10"/>
      <c r="BK1235" s="10"/>
      <c r="BL1235" s="10"/>
    </row>
    <row r="1236" spans="5:64" s="8" customFormat="1" x14ac:dyDescent="0.2">
      <c r="E1236" s="85"/>
      <c r="AR1236" s="10"/>
      <c r="AS1236" s="10"/>
      <c r="AT1236" s="10"/>
      <c r="AU1236" s="10"/>
      <c r="AV1236" s="10"/>
      <c r="AW1236" s="10"/>
      <c r="AX1236" s="10"/>
      <c r="AY1236" s="10"/>
      <c r="AZ1236" s="10"/>
      <c r="BA1236" s="10"/>
      <c r="BB1236" s="10"/>
      <c r="BC1236" s="10"/>
      <c r="BD1236" s="10"/>
      <c r="BE1236" s="10"/>
      <c r="BF1236" s="10"/>
      <c r="BG1236" s="10"/>
      <c r="BH1236" s="10"/>
      <c r="BI1236" s="10"/>
      <c r="BJ1236" s="10"/>
      <c r="BK1236" s="10"/>
      <c r="BL1236" s="10"/>
    </row>
    <row r="1237" spans="5:64" s="8" customFormat="1" x14ac:dyDescent="0.2">
      <c r="E1237" s="85"/>
      <c r="AR1237" s="10"/>
      <c r="AS1237" s="10"/>
      <c r="AT1237" s="10"/>
      <c r="AU1237" s="10"/>
      <c r="AV1237" s="10"/>
      <c r="AW1237" s="10"/>
      <c r="AX1237" s="10"/>
      <c r="AY1237" s="10"/>
      <c r="AZ1237" s="10"/>
      <c r="BA1237" s="10"/>
      <c r="BB1237" s="10"/>
      <c r="BC1237" s="10"/>
      <c r="BD1237" s="10"/>
      <c r="BE1237" s="10"/>
      <c r="BF1237" s="10"/>
      <c r="BG1237" s="10"/>
      <c r="BH1237" s="10"/>
      <c r="BI1237" s="10"/>
      <c r="BJ1237" s="10"/>
      <c r="BK1237" s="10"/>
      <c r="BL1237" s="10"/>
    </row>
    <row r="1238" spans="5:64" s="8" customFormat="1" x14ac:dyDescent="0.2">
      <c r="E1238" s="85"/>
      <c r="AR1238" s="10"/>
      <c r="AS1238" s="10"/>
      <c r="AT1238" s="10"/>
      <c r="AU1238" s="10"/>
      <c r="AV1238" s="10"/>
      <c r="AW1238" s="10"/>
      <c r="AX1238" s="10"/>
      <c r="AY1238" s="10"/>
      <c r="AZ1238" s="10"/>
      <c r="BA1238" s="10"/>
      <c r="BB1238" s="10"/>
      <c r="BC1238" s="10"/>
      <c r="BD1238" s="10"/>
      <c r="BE1238" s="10"/>
      <c r="BF1238" s="10"/>
      <c r="BG1238" s="10"/>
      <c r="BH1238" s="10"/>
      <c r="BI1238" s="10"/>
      <c r="BJ1238" s="10"/>
      <c r="BK1238" s="10"/>
      <c r="BL1238" s="10"/>
    </row>
    <row r="1239" spans="5:64" s="8" customFormat="1" x14ac:dyDescent="0.2">
      <c r="E1239" s="85"/>
      <c r="AR1239" s="10"/>
      <c r="AS1239" s="10"/>
      <c r="AT1239" s="10"/>
      <c r="AU1239" s="10"/>
      <c r="AV1239" s="10"/>
      <c r="AW1239" s="10"/>
      <c r="AX1239" s="10"/>
      <c r="AY1239" s="10"/>
      <c r="AZ1239" s="10"/>
      <c r="BA1239" s="10"/>
      <c r="BB1239" s="10"/>
      <c r="BC1239" s="10"/>
      <c r="BD1239" s="10"/>
      <c r="BE1239" s="10"/>
      <c r="BF1239" s="10"/>
      <c r="BG1239" s="10"/>
      <c r="BH1239" s="10"/>
      <c r="BI1239" s="10"/>
      <c r="BJ1239" s="10"/>
      <c r="BK1239" s="10"/>
      <c r="BL1239" s="10"/>
    </row>
    <row r="1240" spans="5:64" s="8" customFormat="1" x14ac:dyDescent="0.2">
      <c r="E1240" s="85"/>
      <c r="AR1240" s="10"/>
      <c r="AS1240" s="10"/>
      <c r="AT1240" s="10"/>
      <c r="AU1240" s="10"/>
      <c r="AV1240" s="10"/>
      <c r="AW1240" s="10"/>
      <c r="AX1240" s="10"/>
      <c r="AY1240" s="10"/>
      <c r="AZ1240" s="10"/>
      <c r="BA1240" s="10"/>
      <c r="BB1240" s="10"/>
      <c r="BC1240" s="10"/>
      <c r="BD1240" s="10"/>
      <c r="BE1240" s="10"/>
      <c r="BF1240" s="10"/>
      <c r="BG1240" s="10"/>
      <c r="BH1240" s="10"/>
      <c r="BI1240" s="10"/>
      <c r="BJ1240" s="10"/>
      <c r="BK1240" s="10"/>
      <c r="BL1240" s="10"/>
    </row>
    <row r="1241" spans="5:64" s="8" customFormat="1" x14ac:dyDescent="0.2">
      <c r="E1241" s="85"/>
      <c r="AR1241" s="10"/>
      <c r="AS1241" s="10"/>
      <c r="AT1241" s="10"/>
      <c r="AU1241" s="10"/>
      <c r="AV1241" s="10"/>
      <c r="AW1241" s="10"/>
      <c r="AX1241" s="10"/>
      <c r="AY1241" s="10"/>
      <c r="AZ1241" s="10"/>
      <c r="BA1241" s="10"/>
      <c r="BB1241" s="10"/>
      <c r="BC1241" s="10"/>
      <c r="BD1241" s="10"/>
      <c r="BE1241" s="10"/>
      <c r="BF1241" s="10"/>
      <c r="BG1241" s="10"/>
      <c r="BH1241" s="10"/>
      <c r="BI1241" s="10"/>
      <c r="BJ1241" s="10"/>
      <c r="BK1241" s="10"/>
      <c r="BL1241" s="10"/>
    </row>
    <row r="1242" spans="5:64" s="8" customFormat="1" x14ac:dyDescent="0.2">
      <c r="E1242" s="85"/>
      <c r="AR1242" s="10"/>
      <c r="AS1242" s="10"/>
      <c r="AT1242" s="10"/>
      <c r="AU1242" s="10"/>
      <c r="AV1242" s="10"/>
      <c r="AW1242" s="10"/>
      <c r="AX1242" s="10"/>
      <c r="AY1242" s="10"/>
      <c r="AZ1242" s="10"/>
      <c r="BA1242" s="10"/>
      <c r="BB1242" s="10"/>
      <c r="BC1242" s="10"/>
      <c r="BD1242" s="10"/>
      <c r="BE1242" s="10"/>
      <c r="BF1242" s="10"/>
      <c r="BG1242" s="10"/>
      <c r="BH1242" s="10"/>
      <c r="BI1242" s="10"/>
      <c r="BJ1242" s="10"/>
      <c r="BK1242" s="10"/>
      <c r="BL1242" s="10"/>
    </row>
    <row r="1243" spans="5:64" s="8" customFormat="1" x14ac:dyDescent="0.2">
      <c r="E1243" s="85"/>
      <c r="AR1243" s="10"/>
      <c r="AS1243" s="10"/>
      <c r="AT1243" s="10"/>
      <c r="AU1243" s="10"/>
      <c r="AV1243" s="10"/>
      <c r="AW1243" s="10"/>
      <c r="AX1243" s="10"/>
      <c r="AY1243" s="10"/>
      <c r="AZ1243" s="10"/>
      <c r="BA1243" s="10"/>
      <c r="BB1243" s="10"/>
      <c r="BC1243" s="10"/>
      <c r="BD1243" s="10"/>
      <c r="BE1243" s="10"/>
      <c r="BF1243" s="10"/>
      <c r="BG1243" s="10"/>
      <c r="BH1243" s="10"/>
      <c r="BI1243" s="10"/>
      <c r="BJ1243" s="10"/>
      <c r="BK1243" s="10"/>
      <c r="BL1243" s="10"/>
    </row>
    <row r="1244" spans="5:64" s="8" customFormat="1" x14ac:dyDescent="0.2">
      <c r="E1244" s="85"/>
      <c r="AR1244" s="10"/>
      <c r="AS1244" s="10"/>
      <c r="AT1244" s="10"/>
      <c r="AU1244" s="10"/>
      <c r="AV1244" s="10"/>
      <c r="AW1244" s="10"/>
      <c r="AX1244" s="10"/>
      <c r="AY1244" s="10"/>
      <c r="AZ1244" s="10"/>
      <c r="BA1244" s="10"/>
      <c r="BB1244" s="10"/>
      <c r="BC1244" s="10"/>
      <c r="BD1244" s="10"/>
      <c r="BE1244" s="10"/>
      <c r="BF1244" s="10"/>
      <c r="BG1244" s="10"/>
      <c r="BH1244" s="10"/>
      <c r="BI1244" s="10"/>
      <c r="BJ1244" s="10"/>
      <c r="BK1244" s="10"/>
      <c r="BL1244" s="10"/>
    </row>
    <row r="1245" spans="5:64" s="8" customFormat="1" x14ac:dyDescent="0.2">
      <c r="E1245" s="85"/>
      <c r="AR1245" s="10"/>
      <c r="AS1245" s="10"/>
      <c r="AT1245" s="10"/>
      <c r="AU1245" s="10"/>
      <c r="AV1245" s="10"/>
      <c r="AW1245" s="10"/>
      <c r="AX1245" s="10"/>
      <c r="AY1245" s="10"/>
      <c r="AZ1245" s="10"/>
      <c r="BA1245" s="10"/>
      <c r="BB1245" s="10"/>
      <c r="BC1245" s="10"/>
      <c r="BD1245" s="10"/>
      <c r="BE1245" s="10"/>
      <c r="BF1245" s="10"/>
      <c r="BG1245" s="10"/>
      <c r="BH1245" s="10"/>
      <c r="BI1245" s="10"/>
      <c r="BJ1245" s="10"/>
      <c r="BK1245" s="10"/>
      <c r="BL1245" s="10"/>
    </row>
    <row r="1246" spans="5:64" s="8" customFormat="1" x14ac:dyDescent="0.2">
      <c r="E1246" s="85"/>
      <c r="AR1246" s="10"/>
      <c r="AS1246" s="10"/>
      <c r="AT1246" s="10"/>
      <c r="AU1246" s="10"/>
      <c r="AV1246" s="10"/>
      <c r="AW1246" s="10"/>
      <c r="AX1246" s="10"/>
      <c r="AY1246" s="10"/>
      <c r="AZ1246" s="10"/>
      <c r="BA1246" s="10"/>
      <c r="BB1246" s="10"/>
      <c r="BC1246" s="10"/>
      <c r="BD1246" s="10"/>
      <c r="BE1246" s="10"/>
      <c r="BF1246" s="10"/>
      <c r="BG1246" s="10"/>
      <c r="BH1246" s="10"/>
      <c r="BI1246" s="10"/>
      <c r="BJ1246" s="10"/>
      <c r="BK1246" s="10"/>
      <c r="BL1246" s="10"/>
    </row>
    <row r="1247" spans="5:64" s="8" customFormat="1" x14ac:dyDescent="0.2">
      <c r="E1247" s="85"/>
      <c r="AR1247" s="10"/>
      <c r="AS1247" s="10"/>
      <c r="AT1247" s="10"/>
      <c r="AU1247" s="10"/>
      <c r="AV1247" s="10"/>
      <c r="AW1247" s="10"/>
      <c r="AX1247" s="10"/>
      <c r="AY1247" s="10"/>
      <c r="AZ1247" s="10"/>
      <c r="BA1247" s="10"/>
      <c r="BB1247" s="10"/>
      <c r="BC1247" s="10"/>
      <c r="BD1247" s="10"/>
      <c r="BE1247" s="10"/>
      <c r="BF1247" s="10"/>
      <c r="BG1247" s="10"/>
      <c r="BH1247" s="10"/>
      <c r="BI1247" s="10"/>
      <c r="BJ1247" s="10"/>
      <c r="BK1247" s="10"/>
      <c r="BL1247" s="10"/>
    </row>
    <row r="1248" spans="5:64" s="8" customFormat="1" x14ac:dyDescent="0.2">
      <c r="E1248" s="85"/>
      <c r="AR1248" s="10"/>
      <c r="AS1248" s="10"/>
      <c r="AT1248" s="10"/>
      <c r="AU1248" s="10"/>
      <c r="AV1248" s="10"/>
      <c r="AW1248" s="10"/>
      <c r="AX1248" s="10"/>
      <c r="AY1248" s="10"/>
      <c r="AZ1248" s="10"/>
      <c r="BA1248" s="10"/>
      <c r="BB1248" s="10"/>
      <c r="BC1248" s="10"/>
      <c r="BD1248" s="10"/>
      <c r="BE1248" s="10"/>
      <c r="BF1248" s="10"/>
      <c r="BG1248" s="10"/>
      <c r="BH1248" s="10"/>
      <c r="BI1248" s="10"/>
      <c r="BJ1248" s="10"/>
      <c r="BK1248" s="10"/>
      <c r="BL1248" s="10"/>
    </row>
    <row r="1249" spans="5:64" s="8" customFormat="1" x14ac:dyDescent="0.2">
      <c r="E1249" s="85"/>
      <c r="AR1249" s="10"/>
      <c r="AS1249" s="10"/>
      <c r="AT1249" s="10"/>
      <c r="AU1249" s="10"/>
      <c r="AV1249" s="10"/>
      <c r="AW1249" s="10"/>
      <c r="AX1249" s="10"/>
      <c r="AY1249" s="10"/>
      <c r="AZ1249" s="10"/>
      <c r="BA1249" s="10"/>
      <c r="BB1249" s="10"/>
      <c r="BC1249" s="10"/>
      <c r="BD1249" s="10"/>
      <c r="BE1249" s="10"/>
      <c r="BF1249" s="10"/>
      <c r="BG1249" s="10"/>
      <c r="BH1249" s="10"/>
      <c r="BI1249" s="10"/>
      <c r="BJ1249" s="10"/>
      <c r="BK1249" s="10"/>
      <c r="BL1249" s="10"/>
    </row>
    <row r="1250" spans="5:64" s="8" customFormat="1" x14ac:dyDescent="0.2">
      <c r="E1250" s="85"/>
      <c r="AR1250" s="10"/>
      <c r="AS1250" s="10"/>
      <c r="AT1250" s="10"/>
      <c r="AU1250" s="10"/>
      <c r="AV1250" s="10"/>
      <c r="AW1250" s="10"/>
      <c r="AX1250" s="10"/>
      <c r="AY1250" s="10"/>
      <c r="AZ1250" s="10"/>
      <c r="BA1250" s="10"/>
      <c r="BB1250" s="10"/>
      <c r="BC1250" s="10"/>
      <c r="BD1250" s="10"/>
      <c r="BE1250" s="10"/>
      <c r="BF1250" s="10"/>
      <c r="BG1250" s="10"/>
      <c r="BH1250" s="10"/>
      <c r="BI1250" s="10"/>
      <c r="BJ1250" s="10"/>
      <c r="BK1250" s="10"/>
      <c r="BL1250" s="10"/>
    </row>
    <row r="1251" spans="5:64" s="8" customFormat="1" x14ac:dyDescent="0.2">
      <c r="E1251" s="85"/>
      <c r="AR1251" s="10"/>
      <c r="AS1251" s="10"/>
      <c r="AT1251" s="10"/>
      <c r="AU1251" s="10"/>
      <c r="AV1251" s="10"/>
      <c r="AW1251" s="10"/>
      <c r="AX1251" s="10"/>
      <c r="AY1251" s="10"/>
      <c r="AZ1251" s="10"/>
      <c r="BA1251" s="10"/>
      <c r="BB1251" s="10"/>
      <c r="BC1251" s="10"/>
      <c r="BD1251" s="10"/>
      <c r="BE1251" s="10"/>
      <c r="BF1251" s="10"/>
      <c r="BG1251" s="10"/>
      <c r="BH1251" s="10"/>
      <c r="BI1251" s="10"/>
      <c r="BJ1251" s="10"/>
      <c r="BK1251" s="10"/>
      <c r="BL1251" s="10"/>
    </row>
    <row r="1252" spans="5:64" s="8" customFormat="1" x14ac:dyDescent="0.2">
      <c r="E1252" s="85"/>
      <c r="AR1252" s="10"/>
      <c r="AS1252" s="10"/>
      <c r="AT1252" s="10"/>
      <c r="AU1252" s="10"/>
      <c r="AV1252" s="10"/>
      <c r="AW1252" s="10"/>
      <c r="AX1252" s="10"/>
      <c r="AY1252" s="10"/>
      <c r="AZ1252" s="10"/>
      <c r="BA1252" s="10"/>
      <c r="BB1252" s="10"/>
      <c r="BC1252" s="10"/>
      <c r="BD1252" s="10"/>
      <c r="BE1252" s="10"/>
      <c r="BF1252" s="10"/>
      <c r="BG1252" s="10"/>
      <c r="BH1252" s="10"/>
      <c r="BI1252" s="10"/>
      <c r="BJ1252" s="10"/>
      <c r="BK1252" s="10"/>
      <c r="BL1252" s="10"/>
    </row>
    <row r="1253" spans="5:64" s="8" customFormat="1" x14ac:dyDescent="0.2">
      <c r="E1253" s="85"/>
      <c r="AR1253" s="10"/>
      <c r="AS1253" s="10"/>
      <c r="AT1253" s="10"/>
      <c r="AU1253" s="10"/>
      <c r="AV1253" s="10"/>
      <c r="AW1253" s="10"/>
      <c r="AX1253" s="10"/>
      <c r="AY1253" s="10"/>
      <c r="AZ1253" s="10"/>
      <c r="BA1253" s="10"/>
      <c r="BB1253" s="10"/>
      <c r="BC1253" s="10"/>
      <c r="BD1253" s="10"/>
      <c r="BE1253" s="10"/>
      <c r="BF1253" s="10"/>
      <c r="BG1253" s="10"/>
      <c r="BH1253" s="10"/>
      <c r="BI1253" s="10"/>
      <c r="BJ1253" s="10"/>
      <c r="BK1253" s="10"/>
      <c r="BL1253" s="10"/>
    </row>
    <row r="1254" spans="5:64" s="8" customFormat="1" x14ac:dyDescent="0.2">
      <c r="E1254" s="85"/>
      <c r="AR1254" s="10"/>
      <c r="AS1254" s="10"/>
      <c r="AT1254" s="10"/>
      <c r="AU1254" s="10"/>
      <c r="AV1254" s="10"/>
      <c r="AW1254" s="10"/>
      <c r="AX1254" s="10"/>
      <c r="AY1254" s="10"/>
      <c r="AZ1254" s="10"/>
      <c r="BA1254" s="10"/>
      <c r="BB1254" s="10"/>
      <c r="BC1254" s="10"/>
      <c r="BD1254" s="10"/>
      <c r="BE1254" s="10"/>
      <c r="BF1254" s="10"/>
      <c r="BG1254" s="10"/>
      <c r="BH1254" s="10"/>
      <c r="BI1254" s="10"/>
      <c r="BJ1254" s="10"/>
      <c r="BK1254" s="10"/>
      <c r="BL1254" s="10"/>
    </row>
    <row r="1255" spans="5:64" s="8" customFormat="1" x14ac:dyDescent="0.2">
      <c r="E1255" s="85"/>
      <c r="AR1255" s="10"/>
      <c r="AS1255" s="10"/>
      <c r="AT1255" s="10"/>
      <c r="AU1255" s="10"/>
      <c r="AV1255" s="10"/>
      <c r="AW1255" s="10"/>
      <c r="AX1255" s="10"/>
      <c r="AY1255" s="10"/>
      <c r="AZ1255" s="10"/>
      <c r="BA1255" s="10"/>
      <c r="BB1255" s="10"/>
      <c r="BC1255" s="10"/>
      <c r="BD1255" s="10"/>
      <c r="BE1255" s="10"/>
      <c r="BF1255" s="10"/>
      <c r="BG1255" s="10"/>
      <c r="BH1255" s="10"/>
      <c r="BI1255" s="10"/>
      <c r="BJ1255" s="10"/>
      <c r="BK1255" s="10"/>
      <c r="BL1255" s="10"/>
    </row>
    <row r="1256" spans="5:64" s="8" customFormat="1" x14ac:dyDescent="0.2">
      <c r="E1256" s="85"/>
      <c r="AR1256" s="10"/>
      <c r="AS1256" s="10"/>
      <c r="AT1256" s="10"/>
      <c r="AU1256" s="10"/>
      <c r="AV1256" s="10"/>
      <c r="AW1256" s="10"/>
      <c r="AX1256" s="10"/>
      <c r="AY1256" s="10"/>
      <c r="AZ1256" s="10"/>
      <c r="BA1256" s="10"/>
      <c r="BB1256" s="10"/>
      <c r="BC1256" s="10"/>
      <c r="BD1256" s="10"/>
      <c r="BE1256" s="10"/>
      <c r="BF1256" s="10"/>
      <c r="BG1256" s="10"/>
      <c r="BH1256" s="10"/>
      <c r="BI1256" s="10"/>
      <c r="BJ1256" s="10"/>
      <c r="BK1256" s="10"/>
      <c r="BL1256" s="10"/>
    </row>
    <row r="1257" spans="5:64" s="8" customFormat="1" x14ac:dyDescent="0.2">
      <c r="E1257" s="85"/>
      <c r="AR1257" s="10"/>
      <c r="AS1257" s="10"/>
      <c r="AT1257" s="10"/>
      <c r="AU1257" s="10"/>
      <c r="AV1257" s="10"/>
      <c r="AW1257" s="10"/>
      <c r="AX1257" s="10"/>
      <c r="AY1257" s="10"/>
      <c r="AZ1257" s="10"/>
      <c r="BA1257" s="10"/>
      <c r="BB1257" s="10"/>
      <c r="BC1257" s="10"/>
      <c r="BD1257" s="10"/>
      <c r="BE1257" s="10"/>
      <c r="BF1257" s="10"/>
      <c r="BG1257" s="10"/>
      <c r="BH1257" s="10"/>
      <c r="BI1257" s="10"/>
      <c r="BJ1257" s="10"/>
      <c r="BK1257" s="10"/>
      <c r="BL1257" s="10"/>
    </row>
    <row r="1258" spans="5:64" s="8" customFormat="1" x14ac:dyDescent="0.2">
      <c r="E1258" s="85"/>
      <c r="AR1258" s="10"/>
      <c r="AS1258" s="10"/>
      <c r="AT1258" s="10"/>
      <c r="AU1258" s="10"/>
      <c r="AV1258" s="10"/>
      <c r="AW1258" s="10"/>
      <c r="AX1258" s="10"/>
      <c r="AY1258" s="10"/>
      <c r="AZ1258" s="10"/>
      <c r="BA1258" s="10"/>
      <c r="BB1258" s="10"/>
      <c r="BC1258" s="10"/>
      <c r="BD1258" s="10"/>
      <c r="BE1258" s="10"/>
      <c r="BF1258" s="10"/>
      <c r="BG1258" s="10"/>
      <c r="BH1258" s="10"/>
      <c r="BI1258" s="10"/>
      <c r="BJ1258" s="10"/>
      <c r="BK1258" s="10"/>
      <c r="BL1258" s="10"/>
    </row>
    <row r="1259" spans="5:64" s="8" customFormat="1" x14ac:dyDescent="0.2">
      <c r="E1259" s="85"/>
      <c r="AR1259" s="10"/>
      <c r="AS1259" s="10"/>
      <c r="AT1259" s="10"/>
      <c r="AU1259" s="10"/>
      <c r="AV1259" s="10"/>
      <c r="AW1259" s="10"/>
      <c r="AX1259" s="10"/>
      <c r="AY1259" s="10"/>
      <c r="AZ1259" s="10"/>
      <c r="BA1259" s="10"/>
      <c r="BB1259" s="10"/>
      <c r="BC1259" s="10"/>
      <c r="BD1259" s="10"/>
      <c r="BE1259" s="10"/>
      <c r="BF1259" s="10"/>
      <c r="BG1259" s="10"/>
      <c r="BH1259" s="10"/>
      <c r="BI1259" s="10"/>
      <c r="BJ1259" s="10"/>
      <c r="BK1259" s="10"/>
      <c r="BL1259" s="10"/>
    </row>
    <row r="1260" spans="5:64" s="8" customFormat="1" x14ac:dyDescent="0.2">
      <c r="E1260" s="85"/>
      <c r="AR1260" s="10"/>
      <c r="AS1260" s="10"/>
      <c r="AT1260" s="10"/>
      <c r="AU1260" s="10"/>
      <c r="AV1260" s="10"/>
      <c r="AW1260" s="10"/>
      <c r="AX1260" s="10"/>
      <c r="AY1260" s="10"/>
      <c r="AZ1260" s="10"/>
      <c r="BA1260" s="10"/>
      <c r="BB1260" s="10"/>
      <c r="BC1260" s="10"/>
      <c r="BD1260" s="10"/>
      <c r="BE1260" s="10"/>
      <c r="BF1260" s="10"/>
      <c r="BG1260" s="10"/>
      <c r="BH1260" s="10"/>
      <c r="BI1260" s="10"/>
      <c r="BJ1260" s="10"/>
      <c r="BK1260" s="10"/>
      <c r="BL1260" s="10"/>
    </row>
    <row r="1261" spans="5:64" s="8" customFormat="1" x14ac:dyDescent="0.2">
      <c r="E1261" s="85"/>
      <c r="AR1261" s="10"/>
      <c r="AS1261" s="10"/>
      <c r="AT1261" s="10"/>
      <c r="AU1261" s="10"/>
      <c r="AV1261" s="10"/>
      <c r="AW1261" s="10"/>
      <c r="AX1261" s="10"/>
      <c r="AY1261" s="10"/>
      <c r="AZ1261" s="10"/>
      <c r="BA1261" s="10"/>
      <c r="BB1261" s="10"/>
      <c r="BC1261" s="10"/>
      <c r="BD1261" s="10"/>
      <c r="BE1261" s="10"/>
      <c r="BF1261" s="10"/>
      <c r="BG1261" s="10"/>
      <c r="BH1261" s="10"/>
      <c r="BI1261" s="10"/>
      <c r="BJ1261" s="10"/>
      <c r="BK1261" s="10"/>
      <c r="BL1261" s="10"/>
    </row>
    <row r="1262" spans="5:64" s="8" customFormat="1" x14ac:dyDescent="0.2">
      <c r="E1262" s="85"/>
      <c r="AR1262" s="10"/>
      <c r="AS1262" s="10"/>
      <c r="AT1262" s="10"/>
      <c r="AU1262" s="10"/>
      <c r="AV1262" s="10"/>
      <c r="AW1262" s="10"/>
      <c r="AX1262" s="10"/>
      <c r="AY1262" s="10"/>
      <c r="AZ1262" s="10"/>
      <c r="BA1262" s="10"/>
      <c r="BB1262" s="10"/>
      <c r="BC1262" s="10"/>
      <c r="BD1262" s="10"/>
      <c r="BE1262" s="10"/>
      <c r="BF1262" s="10"/>
      <c r="BG1262" s="10"/>
      <c r="BH1262" s="10"/>
      <c r="BI1262" s="10"/>
      <c r="BJ1262" s="10"/>
      <c r="BK1262" s="10"/>
      <c r="BL1262" s="10"/>
    </row>
    <row r="1263" spans="5:64" s="8" customFormat="1" x14ac:dyDescent="0.2">
      <c r="E1263" s="85"/>
      <c r="AR1263" s="10"/>
      <c r="AS1263" s="10"/>
      <c r="AT1263" s="10"/>
      <c r="AU1263" s="10"/>
      <c r="AV1263" s="10"/>
      <c r="AW1263" s="10"/>
      <c r="AX1263" s="10"/>
      <c r="AY1263" s="10"/>
      <c r="AZ1263" s="10"/>
      <c r="BA1263" s="10"/>
      <c r="BB1263" s="10"/>
      <c r="BC1263" s="10"/>
      <c r="BD1263" s="10"/>
      <c r="BE1263" s="10"/>
      <c r="BF1263" s="10"/>
      <c r="BG1263" s="10"/>
      <c r="BH1263" s="10"/>
      <c r="BI1263" s="10"/>
      <c r="BJ1263" s="10"/>
      <c r="BK1263" s="10"/>
      <c r="BL1263" s="10"/>
    </row>
    <row r="1264" spans="5:64" s="8" customFormat="1" x14ac:dyDescent="0.2">
      <c r="E1264" s="85"/>
      <c r="AR1264" s="10"/>
      <c r="AS1264" s="10"/>
      <c r="AT1264" s="10"/>
      <c r="AU1264" s="10"/>
      <c r="AV1264" s="10"/>
      <c r="AW1264" s="10"/>
      <c r="AX1264" s="10"/>
      <c r="AY1264" s="10"/>
      <c r="AZ1264" s="10"/>
      <c r="BA1264" s="10"/>
      <c r="BB1264" s="10"/>
      <c r="BC1264" s="10"/>
      <c r="BD1264" s="10"/>
      <c r="BE1264" s="10"/>
      <c r="BF1264" s="10"/>
      <c r="BG1264" s="10"/>
      <c r="BH1264" s="10"/>
      <c r="BI1264" s="10"/>
      <c r="BJ1264" s="10"/>
      <c r="BK1264" s="10"/>
      <c r="BL1264" s="10"/>
    </row>
    <row r="1265" spans="5:64" s="8" customFormat="1" x14ac:dyDescent="0.2">
      <c r="E1265" s="85"/>
      <c r="AR1265" s="10"/>
      <c r="AS1265" s="10"/>
      <c r="AT1265" s="10"/>
      <c r="AU1265" s="10"/>
      <c r="AV1265" s="10"/>
      <c r="AW1265" s="10"/>
      <c r="AX1265" s="10"/>
      <c r="AY1265" s="10"/>
      <c r="AZ1265" s="10"/>
      <c r="BA1265" s="10"/>
      <c r="BB1265" s="10"/>
      <c r="BC1265" s="10"/>
      <c r="BD1265" s="10"/>
      <c r="BE1265" s="10"/>
      <c r="BF1265" s="10"/>
      <c r="BG1265" s="10"/>
      <c r="BH1265" s="10"/>
      <c r="BI1265" s="10"/>
      <c r="BJ1265" s="10"/>
      <c r="BK1265" s="10"/>
      <c r="BL1265" s="10"/>
    </row>
    <row r="1266" spans="5:64" s="8" customFormat="1" x14ac:dyDescent="0.2">
      <c r="E1266" s="85"/>
      <c r="AR1266" s="10"/>
      <c r="AS1266" s="10"/>
      <c r="AT1266" s="10"/>
      <c r="AU1266" s="10"/>
      <c r="AV1266" s="10"/>
      <c r="AW1266" s="10"/>
      <c r="AX1266" s="10"/>
      <c r="AY1266" s="10"/>
      <c r="AZ1266" s="10"/>
      <c r="BA1266" s="10"/>
      <c r="BB1266" s="10"/>
      <c r="BC1266" s="10"/>
      <c r="BD1266" s="10"/>
      <c r="BE1266" s="10"/>
      <c r="BF1266" s="10"/>
      <c r="BG1266" s="10"/>
      <c r="BH1266" s="10"/>
      <c r="BI1266" s="10"/>
      <c r="BJ1266" s="10"/>
      <c r="BK1266" s="10"/>
      <c r="BL1266" s="10"/>
    </row>
    <row r="1267" spans="5:64" s="8" customFormat="1" x14ac:dyDescent="0.2">
      <c r="E1267" s="85"/>
      <c r="AR1267" s="10"/>
      <c r="AS1267" s="10"/>
      <c r="AT1267" s="10"/>
      <c r="AU1267" s="10"/>
      <c r="AV1267" s="10"/>
      <c r="AW1267" s="10"/>
      <c r="AX1267" s="10"/>
      <c r="AY1267" s="10"/>
      <c r="AZ1267" s="10"/>
      <c r="BA1267" s="10"/>
      <c r="BB1267" s="10"/>
      <c r="BC1267" s="10"/>
      <c r="BD1267" s="10"/>
      <c r="BE1267" s="10"/>
      <c r="BF1267" s="10"/>
      <c r="BG1267" s="10"/>
      <c r="BH1267" s="10"/>
      <c r="BI1267" s="10"/>
      <c r="BJ1267" s="10"/>
      <c r="BK1267" s="10"/>
      <c r="BL1267" s="10"/>
    </row>
    <row r="1268" spans="5:64" s="8" customFormat="1" x14ac:dyDescent="0.2">
      <c r="E1268" s="85"/>
      <c r="AR1268" s="10"/>
      <c r="AS1268" s="10"/>
      <c r="AT1268" s="10"/>
      <c r="AU1268" s="10"/>
      <c r="AV1268" s="10"/>
      <c r="AW1268" s="10"/>
      <c r="AX1268" s="10"/>
      <c r="AY1268" s="10"/>
      <c r="AZ1268" s="10"/>
      <c r="BA1268" s="10"/>
      <c r="BB1268" s="10"/>
      <c r="BC1268" s="10"/>
      <c r="BD1268" s="10"/>
      <c r="BE1268" s="10"/>
      <c r="BF1268" s="10"/>
      <c r="BG1268" s="10"/>
      <c r="BH1268" s="10"/>
      <c r="BI1268" s="10"/>
      <c r="BJ1268" s="10"/>
      <c r="BK1268" s="10"/>
      <c r="BL1268" s="10"/>
    </row>
    <row r="1269" spans="5:64" s="8" customFormat="1" x14ac:dyDescent="0.2">
      <c r="E1269" s="85"/>
      <c r="AR1269" s="10"/>
      <c r="AS1269" s="10"/>
      <c r="AT1269" s="10"/>
      <c r="AU1269" s="10"/>
      <c r="AV1269" s="10"/>
      <c r="AW1269" s="10"/>
      <c r="AX1269" s="10"/>
      <c r="AY1269" s="10"/>
      <c r="AZ1269" s="10"/>
      <c r="BA1269" s="10"/>
      <c r="BB1269" s="10"/>
      <c r="BC1269" s="10"/>
      <c r="BD1269" s="10"/>
      <c r="BE1269" s="10"/>
      <c r="BF1269" s="10"/>
      <c r="BG1269" s="10"/>
      <c r="BH1269" s="10"/>
      <c r="BI1269" s="10"/>
      <c r="BJ1269" s="10"/>
      <c r="BK1269" s="10"/>
      <c r="BL1269" s="10"/>
    </row>
    <row r="1270" spans="5:64" s="8" customFormat="1" x14ac:dyDescent="0.2">
      <c r="E1270" s="85"/>
      <c r="AR1270" s="10"/>
      <c r="AS1270" s="10"/>
      <c r="AT1270" s="10"/>
      <c r="AU1270" s="10"/>
      <c r="AV1270" s="10"/>
      <c r="AW1270" s="10"/>
      <c r="AX1270" s="10"/>
      <c r="AY1270" s="10"/>
      <c r="AZ1270" s="10"/>
      <c r="BA1270" s="10"/>
      <c r="BB1270" s="10"/>
      <c r="BC1270" s="10"/>
      <c r="BD1270" s="10"/>
      <c r="BE1270" s="10"/>
      <c r="BF1270" s="10"/>
      <c r="BG1270" s="10"/>
      <c r="BH1270" s="10"/>
      <c r="BI1270" s="10"/>
      <c r="BJ1270" s="10"/>
      <c r="BK1270" s="10"/>
      <c r="BL1270" s="10"/>
    </row>
    <row r="1271" spans="5:64" s="8" customFormat="1" x14ac:dyDescent="0.2">
      <c r="E1271" s="85"/>
      <c r="AR1271" s="10"/>
      <c r="AS1271" s="10"/>
      <c r="AT1271" s="10"/>
      <c r="AU1271" s="10"/>
      <c r="AV1271" s="10"/>
      <c r="AW1271" s="10"/>
      <c r="AX1271" s="10"/>
      <c r="AY1271" s="10"/>
      <c r="AZ1271" s="10"/>
      <c r="BA1271" s="10"/>
      <c r="BB1271" s="10"/>
      <c r="BC1271" s="10"/>
      <c r="BD1271" s="10"/>
      <c r="BE1271" s="10"/>
      <c r="BF1271" s="10"/>
      <c r="BG1271" s="10"/>
      <c r="BH1271" s="10"/>
      <c r="BI1271" s="10"/>
      <c r="BJ1271" s="10"/>
      <c r="BK1271" s="10"/>
      <c r="BL1271" s="10"/>
    </row>
    <row r="1272" spans="5:64" s="8" customFormat="1" x14ac:dyDescent="0.2">
      <c r="E1272" s="85"/>
      <c r="AR1272" s="10"/>
      <c r="AS1272" s="10"/>
      <c r="AT1272" s="10"/>
      <c r="AU1272" s="10"/>
      <c r="AV1272" s="10"/>
      <c r="AW1272" s="10"/>
      <c r="AX1272" s="10"/>
      <c r="AY1272" s="10"/>
      <c r="AZ1272" s="10"/>
      <c r="BA1272" s="10"/>
      <c r="BB1272" s="10"/>
      <c r="BC1272" s="10"/>
      <c r="BD1272" s="10"/>
      <c r="BE1272" s="10"/>
      <c r="BF1272" s="10"/>
      <c r="BG1272" s="10"/>
      <c r="BH1272" s="10"/>
      <c r="BI1272" s="10"/>
      <c r="BJ1272" s="10"/>
      <c r="BK1272" s="10"/>
      <c r="BL1272" s="10"/>
    </row>
    <row r="1273" spans="5:64" s="8" customFormat="1" x14ac:dyDescent="0.2">
      <c r="E1273" s="85"/>
      <c r="AR1273" s="10"/>
      <c r="AS1273" s="10"/>
      <c r="AT1273" s="10"/>
      <c r="AU1273" s="10"/>
      <c r="AV1273" s="10"/>
      <c r="AW1273" s="10"/>
      <c r="AX1273" s="10"/>
      <c r="AY1273" s="10"/>
      <c r="AZ1273" s="10"/>
      <c r="BA1273" s="10"/>
      <c r="BB1273" s="10"/>
      <c r="BC1273" s="10"/>
      <c r="BD1273" s="10"/>
      <c r="BE1273" s="10"/>
      <c r="BF1273" s="10"/>
      <c r="BG1273" s="10"/>
      <c r="BH1273" s="10"/>
      <c r="BI1273" s="10"/>
      <c r="BJ1273" s="10"/>
      <c r="BK1273" s="10"/>
      <c r="BL1273" s="10"/>
    </row>
    <row r="1274" spans="5:64" s="8" customFormat="1" x14ac:dyDescent="0.2">
      <c r="E1274" s="85"/>
      <c r="AR1274" s="10"/>
      <c r="AS1274" s="10"/>
      <c r="AT1274" s="10"/>
      <c r="AU1274" s="10"/>
      <c r="AV1274" s="10"/>
      <c r="AW1274" s="10"/>
      <c r="AX1274" s="10"/>
      <c r="AY1274" s="10"/>
      <c r="AZ1274" s="10"/>
      <c r="BA1274" s="10"/>
      <c r="BB1274" s="10"/>
      <c r="BC1274" s="10"/>
      <c r="BD1274" s="10"/>
      <c r="BE1274" s="10"/>
      <c r="BF1274" s="10"/>
      <c r="BG1274" s="10"/>
      <c r="BH1274" s="10"/>
      <c r="BI1274" s="10"/>
      <c r="BJ1274" s="10"/>
      <c r="BK1274" s="10"/>
      <c r="BL1274" s="10"/>
    </row>
    <row r="1275" spans="5:64" s="8" customFormat="1" x14ac:dyDescent="0.2">
      <c r="E1275" s="85"/>
      <c r="AR1275" s="10"/>
      <c r="AS1275" s="10"/>
      <c r="AT1275" s="10"/>
      <c r="AU1275" s="10"/>
      <c r="AV1275" s="10"/>
      <c r="AW1275" s="10"/>
      <c r="AX1275" s="10"/>
      <c r="AY1275" s="10"/>
      <c r="AZ1275" s="10"/>
      <c r="BA1275" s="10"/>
      <c r="BB1275" s="10"/>
      <c r="BC1275" s="10"/>
      <c r="BD1275" s="10"/>
      <c r="BE1275" s="10"/>
      <c r="BF1275" s="10"/>
      <c r="BG1275" s="10"/>
      <c r="BH1275" s="10"/>
      <c r="BI1275" s="10"/>
      <c r="BJ1275" s="10"/>
      <c r="BK1275" s="10"/>
      <c r="BL1275" s="10"/>
    </row>
    <row r="1276" spans="5:64" s="8" customFormat="1" x14ac:dyDescent="0.2">
      <c r="E1276" s="85"/>
      <c r="AR1276" s="10"/>
      <c r="AS1276" s="10"/>
      <c r="AT1276" s="10"/>
      <c r="AU1276" s="10"/>
      <c r="AV1276" s="10"/>
      <c r="AW1276" s="10"/>
      <c r="AX1276" s="10"/>
      <c r="AY1276" s="10"/>
      <c r="AZ1276" s="10"/>
      <c r="BA1276" s="10"/>
      <c r="BB1276" s="10"/>
      <c r="BC1276" s="10"/>
      <c r="BD1276" s="10"/>
      <c r="BE1276" s="10"/>
      <c r="BF1276" s="10"/>
      <c r="BG1276" s="10"/>
      <c r="BH1276" s="10"/>
      <c r="BI1276" s="10"/>
      <c r="BJ1276" s="10"/>
      <c r="BK1276" s="10"/>
      <c r="BL1276" s="10"/>
    </row>
    <row r="1277" spans="5:64" s="8" customFormat="1" x14ac:dyDescent="0.2">
      <c r="E1277" s="85"/>
      <c r="AR1277" s="10"/>
      <c r="AS1277" s="10"/>
      <c r="AT1277" s="10"/>
      <c r="AU1277" s="10"/>
      <c r="AV1277" s="10"/>
      <c r="AW1277" s="10"/>
      <c r="AX1277" s="10"/>
      <c r="AY1277" s="10"/>
      <c r="AZ1277" s="10"/>
      <c r="BA1277" s="10"/>
      <c r="BB1277" s="10"/>
      <c r="BC1277" s="10"/>
      <c r="BD1277" s="10"/>
      <c r="BE1277" s="10"/>
      <c r="BF1277" s="10"/>
      <c r="BG1277" s="10"/>
      <c r="BH1277" s="10"/>
      <c r="BI1277" s="10"/>
      <c r="BJ1277" s="10"/>
      <c r="BK1277" s="10"/>
      <c r="BL1277" s="10"/>
    </row>
    <row r="1278" spans="5:64" s="8" customFormat="1" x14ac:dyDescent="0.2">
      <c r="E1278" s="85"/>
      <c r="AR1278" s="10"/>
      <c r="AS1278" s="10"/>
      <c r="AT1278" s="10"/>
      <c r="AU1278" s="10"/>
      <c r="AV1278" s="10"/>
      <c r="AW1278" s="10"/>
      <c r="AX1278" s="10"/>
      <c r="AY1278" s="10"/>
      <c r="AZ1278" s="10"/>
      <c r="BA1278" s="10"/>
      <c r="BB1278" s="10"/>
      <c r="BC1278" s="10"/>
      <c r="BD1278" s="10"/>
      <c r="BE1278" s="10"/>
      <c r="BF1278" s="10"/>
      <c r="BG1278" s="10"/>
      <c r="BH1278" s="10"/>
      <c r="BI1278" s="10"/>
      <c r="BJ1278" s="10"/>
      <c r="BK1278" s="10"/>
      <c r="BL1278" s="10"/>
    </row>
    <row r="1279" spans="5:64" s="8" customFormat="1" x14ac:dyDescent="0.2">
      <c r="E1279" s="85"/>
      <c r="AR1279" s="10"/>
      <c r="AS1279" s="10"/>
      <c r="AT1279" s="10"/>
      <c r="AU1279" s="10"/>
      <c r="AV1279" s="10"/>
      <c r="AW1279" s="10"/>
      <c r="AX1279" s="10"/>
      <c r="AY1279" s="10"/>
      <c r="AZ1279" s="10"/>
      <c r="BA1279" s="10"/>
      <c r="BB1279" s="10"/>
      <c r="BC1279" s="10"/>
      <c r="BD1279" s="10"/>
      <c r="BE1279" s="10"/>
      <c r="BF1279" s="10"/>
      <c r="BG1279" s="10"/>
      <c r="BH1279" s="10"/>
      <c r="BI1279" s="10"/>
      <c r="BJ1279" s="10"/>
      <c r="BK1279" s="10"/>
      <c r="BL1279" s="10"/>
    </row>
    <row r="1280" spans="5:64" s="8" customFormat="1" x14ac:dyDescent="0.2">
      <c r="E1280" s="85"/>
      <c r="AR1280" s="10"/>
      <c r="AS1280" s="10"/>
      <c r="AT1280" s="10"/>
      <c r="AU1280" s="10"/>
      <c r="AV1280" s="10"/>
      <c r="AW1280" s="10"/>
      <c r="AX1280" s="10"/>
      <c r="AY1280" s="10"/>
      <c r="AZ1280" s="10"/>
      <c r="BA1280" s="10"/>
      <c r="BB1280" s="10"/>
      <c r="BC1280" s="10"/>
      <c r="BD1280" s="10"/>
      <c r="BE1280" s="10"/>
      <c r="BF1280" s="10"/>
      <c r="BG1280" s="10"/>
      <c r="BH1280" s="10"/>
      <c r="BI1280" s="10"/>
      <c r="BJ1280" s="10"/>
      <c r="BK1280" s="10"/>
      <c r="BL1280" s="10"/>
    </row>
    <row r="1281" spans="5:64" s="8" customFormat="1" x14ac:dyDescent="0.2">
      <c r="E1281" s="85"/>
      <c r="AR1281" s="10"/>
      <c r="AS1281" s="10"/>
      <c r="AT1281" s="10"/>
      <c r="AU1281" s="10"/>
      <c r="AV1281" s="10"/>
      <c r="AW1281" s="10"/>
      <c r="AX1281" s="10"/>
      <c r="AY1281" s="10"/>
      <c r="AZ1281" s="10"/>
      <c r="BA1281" s="10"/>
      <c r="BB1281" s="10"/>
      <c r="BC1281" s="10"/>
      <c r="BD1281" s="10"/>
      <c r="BE1281" s="10"/>
      <c r="BF1281" s="10"/>
      <c r="BG1281" s="10"/>
      <c r="BH1281" s="10"/>
      <c r="BI1281" s="10"/>
      <c r="BJ1281" s="10"/>
      <c r="BK1281" s="10"/>
      <c r="BL1281" s="10"/>
    </row>
    <row r="1282" spans="5:64" s="8" customFormat="1" x14ac:dyDescent="0.2">
      <c r="E1282" s="85"/>
      <c r="AR1282" s="10"/>
      <c r="AS1282" s="10"/>
      <c r="AT1282" s="10"/>
      <c r="AU1282" s="10"/>
      <c r="AV1282" s="10"/>
      <c r="AW1282" s="10"/>
      <c r="AX1282" s="10"/>
      <c r="AY1282" s="10"/>
      <c r="AZ1282" s="10"/>
      <c r="BA1282" s="10"/>
      <c r="BB1282" s="10"/>
      <c r="BC1282" s="10"/>
      <c r="BD1282" s="10"/>
      <c r="BE1282" s="10"/>
      <c r="BF1282" s="10"/>
      <c r="BG1282" s="10"/>
      <c r="BH1282" s="10"/>
      <c r="BI1282" s="10"/>
      <c r="BJ1282" s="10"/>
      <c r="BK1282" s="10"/>
      <c r="BL1282" s="10"/>
    </row>
    <row r="1283" spans="5:64" s="8" customFormat="1" x14ac:dyDescent="0.2">
      <c r="E1283" s="85"/>
      <c r="AR1283" s="10"/>
      <c r="AS1283" s="10"/>
      <c r="AT1283" s="10"/>
      <c r="AU1283" s="10"/>
      <c r="AV1283" s="10"/>
      <c r="AW1283" s="10"/>
      <c r="AX1283" s="10"/>
      <c r="AY1283" s="10"/>
      <c r="AZ1283" s="10"/>
      <c r="BA1283" s="10"/>
      <c r="BB1283" s="10"/>
      <c r="BC1283" s="10"/>
      <c r="BD1283" s="10"/>
      <c r="BE1283" s="10"/>
      <c r="BF1283" s="10"/>
      <c r="BG1283" s="10"/>
      <c r="BH1283" s="10"/>
      <c r="BI1283" s="10"/>
      <c r="BJ1283" s="10"/>
      <c r="BK1283" s="10"/>
      <c r="BL1283" s="10"/>
    </row>
    <row r="1284" spans="5:64" s="8" customFormat="1" x14ac:dyDescent="0.2">
      <c r="E1284" s="85"/>
      <c r="AR1284" s="10"/>
      <c r="AS1284" s="10"/>
      <c r="AT1284" s="10"/>
      <c r="AU1284" s="10"/>
      <c r="AV1284" s="10"/>
      <c r="AW1284" s="10"/>
      <c r="AX1284" s="10"/>
      <c r="AY1284" s="10"/>
      <c r="AZ1284" s="10"/>
      <c r="BA1284" s="10"/>
      <c r="BB1284" s="10"/>
      <c r="BC1284" s="10"/>
      <c r="BD1284" s="10"/>
      <c r="BE1284" s="10"/>
      <c r="BF1284" s="10"/>
      <c r="BG1284" s="10"/>
      <c r="BH1284" s="10"/>
      <c r="BI1284" s="10"/>
      <c r="BJ1284" s="10"/>
      <c r="BK1284" s="10"/>
      <c r="BL1284" s="10"/>
    </row>
    <row r="1285" spans="5:64" s="8" customFormat="1" x14ac:dyDescent="0.2">
      <c r="E1285" s="85"/>
      <c r="AR1285" s="10"/>
      <c r="AS1285" s="10"/>
      <c r="AT1285" s="10"/>
      <c r="AU1285" s="10"/>
      <c r="AV1285" s="10"/>
      <c r="AW1285" s="10"/>
      <c r="AX1285" s="10"/>
      <c r="AY1285" s="10"/>
      <c r="AZ1285" s="10"/>
      <c r="BA1285" s="10"/>
      <c r="BB1285" s="10"/>
      <c r="BC1285" s="10"/>
      <c r="BD1285" s="10"/>
      <c r="BE1285" s="10"/>
      <c r="BF1285" s="10"/>
      <c r="BG1285" s="10"/>
      <c r="BH1285" s="10"/>
      <c r="BI1285" s="10"/>
      <c r="BJ1285" s="10"/>
      <c r="BK1285" s="10"/>
      <c r="BL1285" s="10"/>
    </row>
    <row r="1286" spans="5:64" s="8" customFormat="1" x14ac:dyDescent="0.2">
      <c r="E1286" s="85"/>
      <c r="AR1286" s="10"/>
      <c r="AS1286" s="10"/>
      <c r="AT1286" s="10"/>
      <c r="AU1286" s="10"/>
      <c r="AV1286" s="10"/>
      <c r="AW1286" s="10"/>
      <c r="AX1286" s="10"/>
      <c r="AY1286" s="10"/>
      <c r="AZ1286" s="10"/>
      <c r="BA1286" s="10"/>
      <c r="BB1286" s="10"/>
      <c r="BC1286" s="10"/>
      <c r="BD1286" s="10"/>
      <c r="BE1286" s="10"/>
      <c r="BF1286" s="10"/>
      <c r="BG1286" s="10"/>
      <c r="BH1286" s="10"/>
      <c r="BI1286" s="10"/>
      <c r="BJ1286" s="10"/>
      <c r="BK1286" s="10"/>
      <c r="BL1286" s="10"/>
    </row>
    <row r="1287" spans="5:64" s="8" customFormat="1" x14ac:dyDescent="0.2">
      <c r="E1287" s="85"/>
      <c r="AR1287" s="10"/>
      <c r="AS1287" s="10"/>
      <c r="AT1287" s="10"/>
      <c r="AU1287" s="10"/>
      <c r="AV1287" s="10"/>
      <c r="AW1287" s="10"/>
      <c r="AX1287" s="10"/>
      <c r="AY1287" s="10"/>
      <c r="AZ1287" s="10"/>
      <c r="BA1287" s="10"/>
      <c r="BB1287" s="10"/>
      <c r="BC1287" s="10"/>
      <c r="BD1287" s="10"/>
      <c r="BE1287" s="10"/>
      <c r="BF1287" s="10"/>
      <c r="BG1287" s="10"/>
      <c r="BH1287" s="10"/>
      <c r="BI1287" s="10"/>
      <c r="BJ1287" s="10"/>
      <c r="BK1287" s="10"/>
      <c r="BL1287" s="10"/>
    </row>
    <row r="1288" spans="5:64" s="8" customFormat="1" x14ac:dyDescent="0.2">
      <c r="E1288" s="85"/>
      <c r="AR1288" s="10"/>
      <c r="AS1288" s="10"/>
      <c r="AT1288" s="10"/>
      <c r="AU1288" s="10"/>
      <c r="AV1288" s="10"/>
      <c r="AW1288" s="10"/>
      <c r="AX1288" s="10"/>
      <c r="AY1288" s="10"/>
      <c r="AZ1288" s="10"/>
      <c r="BA1288" s="10"/>
      <c r="BB1288" s="10"/>
      <c r="BC1288" s="10"/>
      <c r="BD1288" s="10"/>
      <c r="BE1288" s="10"/>
      <c r="BF1288" s="10"/>
      <c r="BG1288" s="10"/>
      <c r="BH1288" s="10"/>
      <c r="BI1288" s="10"/>
      <c r="BJ1288" s="10"/>
      <c r="BK1288" s="10"/>
      <c r="BL1288" s="10"/>
    </row>
    <row r="1289" spans="5:64" s="8" customFormat="1" x14ac:dyDescent="0.2">
      <c r="E1289" s="85"/>
      <c r="AR1289" s="10"/>
      <c r="AS1289" s="10"/>
      <c r="AT1289" s="10"/>
      <c r="AU1289" s="10"/>
      <c r="AV1289" s="10"/>
      <c r="AW1289" s="10"/>
      <c r="AX1289" s="10"/>
      <c r="AY1289" s="10"/>
      <c r="AZ1289" s="10"/>
      <c r="BA1289" s="10"/>
      <c r="BB1289" s="10"/>
      <c r="BC1289" s="10"/>
      <c r="BD1289" s="10"/>
      <c r="BE1289" s="10"/>
      <c r="BF1289" s="10"/>
      <c r="BG1289" s="10"/>
      <c r="BH1289" s="10"/>
      <c r="BI1289" s="10"/>
      <c r="BJ1289" s="10"/>
      <c r="BK1289" s="10"/>
      <c r="BL1289" s="10"/>
    </row>
    <row r="1290" spans="5:64" s="8" customFormat="1" x14ac:dyDescent="0.2">
      <c r="E1290" s="85"/>
      <c r="AR1290" s="10"/>
      <c r="AS1290" s="10"/>
      <c r="AT1290" s="10"/>
      <c r="AU1290" s="10"/>
      <c r="AV1290" s="10"/>
      <c r="AW1290" s="10"/>
      <c r="AX1290" s="10"/>
      <c r="AY1290" s="10"/>
      <c r="AZ1290" s="10"/>
      <c r="BA1290" s="10"/>
      <c r="BB1290" s="10"/>
      <c r="BC1290" s="10"/>
      <c r="BD1290" s="10"/>
      <c r="BE1290" s="10"/>
      <c r="BF1290" s="10"/>
      <c r="BG1290" s="10"/>
      <c r="BH1290" s="10"/>
      <c r="BI1290" s="10"/>
      <c r="BJ1290" s="10"/>
      <c r="BK1290" s="10"/>
      <c r="BL1290" s="10"/>
    </row>
    <row r="1291" spans="5:64" s="8" customFormat="1" x14ac:dyDescent="0.2">
      <c r="E1291" s="85"/>
      <c r="AR1291" s="10"/>
      <c r="AS1291" s="10"/>
      <c r="AT1291" s="10"/>
      <c r="AU1291" s="10"/>
      <c r="AV1291" s="10"/>
      <c r="AW1291" s="10"/>
      <c r="AX1291" s="10"/>
      <c r="AY1291" s="10"/>
      <c r="AZ1291" s="10"/>
      <c r="BA1291" s="10"/>
      <c r="BB1291" s="10"/>
      <c r="BC1291" s="10"/>
      <c r="BD1291" s="10"/>
      <c r="BE1291" s="10"/>
      <c r="BF1291" s="10"/>
      <c r="BG1291" s="10"/>
      <c r="BH1291" s="10"/>
      <c r="BI1291" s="10"/>
      <c r="BJ1291" s="10"/>
      <c r="BK1291" s="10"/>
      <c r="BL1291" s="10"/>
    </row>
    <row r="1292" spans="5:64" s="8" customFormat="1" x14ac:dyDescent="0.2">
      <c r="E1292" s="85"/>
      <c r="AR1292" s="10"/>
      <c r="AS1292" s="10"/>
      <c r="AT1292" s="10"/>
      <c r="AU1292" s="10"/>
      <c r="AV1292" s="10"/>
      <c r="AW1292" s="10"/>
      <c r="AX1292" s="10"/>
      <c r="AY1292" s="10"/>
      <c r="AZ1292" s="10"/>
      <c r="BA1292" s="10"/>
      <c r="BB1292" s="10"/>
      <c r="BC1292" s="10"/>
      <c r="BD1292" s="10"/>
      <c r="BE1292" s="10"/>
      <c r="BF1292" s="10"/>
      <c r="BG1292" s="10"/>
      <c r="BH1292" s="10"/>
      <c r="BI1292" s="10"/>
      <c r="BJ1292" s="10"/>
      <c r="BK1292" s="10"/>
      <c r="BL1292" s="10"/>
    </row>
    <row r="1293" spans="5:64" s="8" customFormat="1" x14ac:dyDescent="0.2">
      <c r="E1293" s="85"/>
      <c r="AR1293" s="10"/>
      <c r="AS1293" s="10"/>
      <c r="AT1293" s="10"/>
      <c r="AU1293" s="10"/>
      <c r="AV1293" s="10"/>
      <c r="AW1293" s="10"/>
      <c r="AX1293" s="10"/>
      <c r="AY1293" s="10"/>
      <c r="AZ1293" s="10"/>
      <c r="BA1293" s="10"/>
      <c r="BB1293" s="10"/>
      <c r="BC1293" s="10"/>
      <c r="BD1293" s="10"/>
      <c r="BE1293" s="10"/>
      <c r="BF1293" s="10"/>
      <c r="BG1293" s="10"/>
      <c r="BH1293" s="10"/>
      <c r="BI1293" s="10"/>
      <c r="BJ1293" s="10"/>
      <c r="BK1293" s="10"/>
      <c r="BL1293" s="10"/>
    </row>
    <row r="1294" spans="5:64" s="8" customFormat="1" x14ac:dyDescent="0.2">
      <c r="E1294" s="85"/>
      <c r="AR1294" s="10"/>
      <c r="AS1294" s="10"/>
      <c r="AT1294" s="10"/>
      <c r="AU1294" s="10"/>
      <c r="AV1294" s="10"/>
      <c r="AW1294" s="10"/>
      <c r="AX1294" s="10"/>
      <c r="AY1294" s="10"/>
      <c r="AZ1294" s="10"/>
      <c r="BA1294" s="10"/>
      <c r="BB1294" s="10"/>
      <c r="BC1294" s="10"/>
      <c r="BD1294" s="10"/>
      <c r="BE1294" s="10"/>
      <c r="BF1294" s="10"/>
      <c r="BG1294" s="10"/>
      <c r="BH1294" s="10"/>
      <c r="BI1294" s="10"/>
      <c r="BJ1294" s="10"/>
      <c r="BK1294" s="10"/>
      <c r="BL1294" s="10"/>
    </row>
    <row r="1295" spans="5:64" s="8" customFormat="1" x14ac:dyDescent="0.2">
      <c r="E1295" s="85"/>
      <c r="AR1295" s="10"/>
      <c r="AS1295" s="10"/>
      <c r="AT1295" s="10"/>
      <c r="AU1295" s="10"/>
      <c r="AV1295" s="10"/>
      <c r="AW1295" s="10"/>
      <c r="AX1295" s="10"/>
      <c r="AY1295" s="10"/>
      <c r="AZ1295" s="10"/>
      <c r="BA1295" s="10"/>
      <c r="BB1295" s="10"/>
      <c r="BC1295" s="10"/>
      <c r="BD1295" s="10"/>
      <c r="BE1295" s="10"/>
      <c r="BF1295" s="10"/>
      <c r="BG1295" s="10"/>
      <c r="BH1295" s="10"/>
      <c r="BI1295" s="10"/>
      <c r="BJ1295" s="10"/>
      <c r="BK1295" s="10"/>
      <c r="BL1295" s="10"/>
    </row>
    <row r="1296" spans="5:64" s="8" customFormat="1" x14ac:dyDescent="0.2">
      <c r="E1296" s="85"/>
      <c r="AR1296" s="10"/>
      <c r="AS1296" s="10"/>
      <c r="AT1296" s="10"/>
      <c r="AU1296" s="10"/>
      <c r="AV1296" s="10"/>
      <c r="AW1296" s="10"/>
      <c r="AX1296" s="10"/>
      <c r="AY1296" s="10"/>
      <c r="AZ1296" s="10"/>
      <c r="BA1296" s="10"/>
      <c r="BB1296" s="10"/>
      <c r="BC1296" s="10"/>
      <c r="BD1296" s="10"/>
      <c r="BE1296" s="10"/>
      <c r="BF1296" s="10"/>
      <c r="BG1296" s="10"/>
      <c r="BH1296" s="10"/>
      <c r="BI1296" s="10"/>
      <c r="BJ1296" s="10"/>
      <c r="BK1296" s="10"/>
      <c r="BL1296" s="10"/>
    </row>
    <row r="1297" spans="5:64" s="8" customFormat="1" x14ac:dyDescent="0.2">
      <c r="E1297" s="85"/>
      <c r="AR1297" s="10"/>
      <c r="AS1297" s="10"/>
      <c r="AT1297" s="10"/>
      <c r="AU1297" s="10"/>
      <c r="AV1297" s="10"/>
      <c r="AW1297" s="10"/>
      <c r="AX1297" s="10"/>
      <c r="AY1297" s="10"/>
      <c r="AZ1297" s="10"/>
      <c r="BA1297" s="10"/>
      <c r="BB1297" s="10"/>
      <c r="BC1297" s="10"/>
      <c r="BD1297" s="10"/>
      <c r="BE1297" s="10"/>
      <c r="BF1297" s="10"/>
      <c r="BG1297" s="10"/>
      <c r="BH1297" s="10"/>
      <c r="BI1297" s="10"/>
      <c r="BJ1297" s="10"/>
      <c r="BK1297" s="10"/>
      <c r="BL1297" s="10"/>
    </row>
    <row r="1298" spans="5:64" s="8" customFormat="1" x14ac:dyDescent="0.2">
      <c r="E1298" s="85"/>
      <c r="AR1298" s="10"/>
      <c r="AS1298" s="10"/>
      <c r="AT1298" s="10"/>
      <c r="AU1298" s="10"/>
      <c r="AV1298" s="10"/>
      <c r="AW1298" s="10"/>
      <c r="AX1298" s="10"/>
      <c r="AY1298" s="10"/>
      <c r="AZ1298" s="10"/>
      <c r="BA1298" s="10"/>
      <c r="BB1298" s="10"/>
      <c r="BC1298" s="10"/>
      <c r="BD1298" s="10"/>
      <c r="BE1298" s="10"/>
      <c r="BF1298" s="10"/>
      <c r="BG1298" s="10"/>
      <c r="BH1298" s="10"/>
      <c r="BI1298" s="10"/>
      <c r="BJ1298" s="10"/>
      <c r="BK1298" s="10"/>
      <c r="BL1298" s="10"/>
    </row>
    <row r="1299" spans="5:64" s="8" customFormat="1" x14ac:dyDescent="0.2">
      <c r="E1299" s="85"/>
      <c r="AR1299" s="10"/>
      <c r="AS1299" s="10"/>
      <c r="AT1299" s="10"/>
      <c r="AU1299" s="10"/>
      <c r="AV1299" s="10"/>
      <c r="AW1299" s="10"/>
      <c r="AX1299" s="10"/>
      <c r="AY1299" s="10"/>
      <c r="AZ1299" s="10"/>
      <c r="BA1299" s="10"/>
      <c r="BB1299" s="10"/>
      <c r="BC1299" s="10"/>
      <c r="BD1299" s="10"/>
      <c r="BE1299" s="10"/>
      <c r="BF1299" s="10"/>
      <c r="BG1299" s="10"/>
      <c r="BH1299" s="10"/>
      <c r="BI1299" s="10"/>
      <c r="BJ1299" s="10"/>
      <c r="BK1299" s="10"/>
      <c r="BL1299" s="10"/>
    </row>
    <row r="1300" spans="5:64" s="8" customFormat="1" x14ac:dyDescent="0.2">
      <c r="E1300" s="85"/>
      <c r="AR1300" s="10"/>
      <c r="AS1300" s="10"/>
      <c r="AT1300" s="10"/>
      <c r="AU1300" s="10"/>
      <c r="AV1300" s="10"/>
      <c r="AW1300" s="10"/>
      <c r="AX1300" s="10"/>
      <c r="AY1300" s="10"/>
      <c r="AZ1300" s="10"/>
      <c r="BA1300" s="10"/>
      <c r="BB1300" s="10"/>
      <c r="BC1300" s="10"/>
      <c r="BD1300" s="10"/>
      <c r="BE1300" s="10"/>
      <c r="BF1300" s="10"/>
      <c r="BG1300" s="10"/>
      <c r="BH1300" s="10"/>
      <c r="BI1300" s="10"/>
      <c r="BJ1300" s="10"/>
      <c r="BK1300" s="10"/>
      <c r="BL1300" s="10"/>
    </row>
    <row r="1301" spans="5:64" s="8" customFormat="1" x14ac:dyDescent="0.2">
      <c r="E1301" s="85"/>
      <c r="AR1301" s="10"/>
      <c r="AS1301" s="10"/>
      <c r="AT1301" s="10"/>
      <c r="AU1301" s="10"/>
      <c r="AV1301" s="10"/>
      <c r="AW1301" s="10"/>
      <c r="AX1301" s="10"/>
      <c r="AY1301" s="10"/>
      <c r="AZ1301" s="10"/>
      <c r="BA1301" s="10"/>
      <c r="BB1301" s="10"/>
      <c r="BC1301" s="10"/>
      <c r="BD1301" s="10"/>
      <c r="BE1301" s="10"/>
      <c r="BF1301" s="10"/>
      <c r="BG1301" s="10"/>
      <c r="BH1301" s="10"/>
      <c r="BI1301" s="10"/>
      <c r="BJ1301" s="10"/>
      <c r="BK1301" s="10"/>
      <c r="BL1301" s="10"/>
    </row>
    <row r="1302" spans="5:64" s="8" customFormat="1" x14ac:dyDescent="0.2">
      <c r="E1302" s="85"/>
      <c r="AR1302" s="10"/>
      <c r="AS1302" s="10"/>
      <c r="AT1302" s="10"/>
      <c r="AU1302" s="10"/>
      <c r="AV1302" s="10"/>
      <c r="AW1302" s="10"/>
      <c r="AX1302" s="10"/>
      <c r="AY1302" s="10"/>
      <c r="AZ1302" s="10"/>
      <c r="BA1302" s="10"/>
      <c r="BB1302" s="10"/>
      <c r="BC1302" s="10"/>
      <c r="BD1302" s="10"/>
      <c r="BE1302" s="10"/>
      <c r="BF1302" s="10"/>
      <c r="BG1302" s="10"/>
      <c r="BH1302" s="10"/>
      <c r="BI1302" s="10"/>
      <c r="BJ1302" s="10"/>
      <c r="BK1302" s="10"/>
      <c r="BL1302" s="10"/>
    </row>
    <row r="1303" spans="5:64" s="8" customFormat="1" x14ac:dyDescent="0.2">
      <c r="E1303" s="85"/>
      <c r="AR1303" s="10"/>
      <c r="AS1303" s="10"/>
      <c r="AT1303" s="10"/>
      <c r="AU1303" s="10"/>
      <c r="AV1303" s="10"/>
      <c r="AW1303" s="10"/>
      <c r="AX1303" s="10"/>
      <c r="AY1303" s="10"/>
      <c r="AZ1303" s="10"/>
      <c r="BA1303" s="10"/>
      <c r="BB1303" s="10"/>
      <c r="BC1303" s="10"/>
      <c r="BD1303" s="10"/>
      <c r="BE1303" s="10"/>
      <c r="BF1303" s="10"/>
      <c r="BG1303" s="10"/>
      <c r="BH1303" s="10"/>
      <c r="BI1303" s="10"/>
      <c r="BJ1303" s="10"/>
      <c r="BK1303" s="10"/>
      <c r="BL1303" s="10"/>
    </row>
    <row r="1304" spans="5:64" s="8" customFormat="1" x14ac:dyDescent="0.2">
      <c r="E1304" s="85"/>
      <c r="AR1304" s="10"/>
      <c r="AS1304" s="10"/>
      <c r="AT1304" s="10"/>
      <c r="AU1304" s="10"/>
      <c r="AV1304" s="10"/>
      <c r="AW1304" s="10"/>
      <c r="AX1304" s="10"/>
      <c r="AY1304" s="10"/>
      <c r="AZ1304" s="10"/>
      <c r="BA1304" s="10"/>
      <c r="BB1304" s="10"/>
      <c r="BC1304" s="10"/>
      <c r="BD1304" s="10"/>
      <c r="BE1304" s="10"/>
      <c r="BF1304" s="10"/>
      <c r="BG1304" s="10"/>
      <c r="BH1304" s="10"/>
      <c r="BI1304" s="10"/>
      <c r="BJ1304" s="10"/>
      <c r="BK1304" s="10"/>
      <c r="BL1304" s="10"/>
    </row>
    <row r="1305" spans="5:64" s="8" customFormat="1" x14ac:dyDescent="0.2">
      <c r="E1305" s="85"/>
      <c r="AR1305" s="10"/>
      <c r="AS1305" s="10"/>
      <c r="AT1305" s="10"/>
      <c r="AU1305" s="10"/>
      <c r="AV1305" s="10"/>
      <c r="AW1305" s="10"/>
      <c r="AX1305" s="10"/>
      <c r="AY1305" s="10"/>
      <c r="AZ1305" s="10"/>
      <c r="BA1305" s="10"/>
      <c r="BB1305" s="10"/>
      <c r="BC1305" s="10"/>
      <c r="BD1305" s="10"/>
      <c r="BE1305" s="10"/>
      <c r="BF1305" s="10"/>
      <c r="BG1305" s="10"/>
      <c r="BH1305" s="10"/>
      <c r="BI1305" s="10"/>
      <c r="BJ1305" s="10"/>
      <c r="BK1305" s="10"/>
      <c r="BL1305" s="10"/>
    </row>
    <row r="1306" spans="5:64" s="8" customFormat="1" x14ac:dyDescent="0.2">
      <c r="E1306" s="85"/>
      <c r="AR1306" s="10"/>
      <c r="AS1306" s="10"/>
      <c r="AT1306" s="10"/>
      <c r="AU1306" s="10"/>
      <c r="AV1306" s="10"/>
      <c r="AW1306" s="10"/>
      <c r="AX1306" s="10"/>
      <c r="AY1306" s="10"/>
      <c r="AZ1306" s="10"/>
      <c r="BA1306" s="10"/>
      <c r="BB1306" s="10"/>
      <c r="BC1306" s="10"/>
      <c r="BD1306" s="10"/>
      <c r="BE1306" s="10"/>
      <c r="BF1306" s="10"/>
      <c r="BG1306" s="10"/>
      <c r="BH1306" s="10"/>
      <c r="BI1306" s="10"/>
      <c r="BJ1306" s="10"/>
      <c r="BK1306" s="10"/>
      <c r="BL1306" s="10"/>
    </row>
    <row r="1307" spans="5:64" s="8" customFormat="1" x14ac:dyDescent="0.2">
      <c r="E1307" s="85"/>
      <c r="AR1307" s="10"/>
      <c r="AS1307" s="10"/>
      <c r="AT1307" s="10"/>
      <c r="AU1307" s="10"/>
      <c r="AV1307" s="10"/>
      <c r="AW1307" s="10"/>
      <c r="AX1307" s="10"/>
      <c r="AY1307" s="10"/>
      <c r="AZ1307" s="10"/>
      <c r="BA1307" s="10"/>
      <c r="BB1307" s="10"/>
      <c r="BC1307" s="10"/>
      <c r="BD1307" s="10"/>
      <c r="BE1307" s="10"/>
      <c r="BF1307" s="10"/>
      <c r="BG1307" s="10"/>
      <c r="BH1307" s="10"/>
      <c r="BI1307" s="10"/>
      <c r="BJ1307" s="10"/>
      <c r="BK1307" s="10"/>
      <c r="BL1307" s="10"/>
    </row>
    <row r="1308" spans="5:64" s="8" customFormat="1" x14ac:dyDescent="0.2">
      <c r="E1308" s="85"/>
      <c r="AR1308" s="10"/>
      <c r="AS1308" s="10"/>
      <c r="AT1308" s="10"/>
      <c r="AU1308" s="10"/>
      <c r="AV1308" s="10"/>
      <c r="AW1308" s="10"/>
      <c r="AX1308" s="10"/>
      <c r="AY1308" s="10"/>
      <c r="AZ1308" s="10"/>
      <c r="BA1308" s="10"/>
      <c r="BB1308" s="10"/>
      <c r="BC1308" s="10"/>
      <c r="BD1308" s="10"/>
      <c r="BE1308" s="10"/>
      <c r="BF1308" s="10"/>
      <c r="BG1308" s="10"/>
      <c r="BH1308" s="10"/>
      <c r="BI1308" s="10"/>
      <c r="BJ1308" s="10"/>
      <c r="BK1308" s="10"/>
      <c r="BL1308" s="10"/>
    </row>
    <row r="1309" spans="5:64" s="8" customFormat="1" x14ac:dyDescent="0.2">
      <c r="E1309" s="85"/>
      <c r="AR1309" s="10"/>
      <c r="AS1309" s="10"/>
      <c r="AT1309" s="10"/>
      <c r="AU1309" s="10"/>
      <c r="AV1309" s="10"/>
      <c r="AW1309" s="10"/>
      <c r="AX1309" s="10"/>
      <c r="AY1309" s="10"/>
      <c r="AZ1309" s="10"/>
      <c r="BA1309" s="10"/>
      <c r="BB1309" s="10"/>
      <c r="BC1309" s="10"/>
      <c r="BD1309" s="10"/>
      <c r="BE1309" s="10"/>
      <c r="BF1309" s="10"/>
      <c r="BG1309" s="10"/>
      <c r="BH1309" s="10"/>
      <c r="BI1309" s="10"/>
      <c r="BJ1309" s="10"/>
      <c r="BK1309" s="10"/>
      <c r="BL1309" s="10"/>
    </row>
    <row r="1310" spans="5:64" s="8" customFormat="1" x14ac:dyDescent="0.2">
      <c r="E1310" s="85"/>
      <c r="AR1310" s="10"/>
      <c r="AS1310" s="10"/>
      <c r="AT1310" s="10"/>
      <c r="AU1310" s="10"/>
      <c r="AV1310" s="10"/>
      <c r="AW1310" s="10"/>
      <c r="AX1310" s="10"/>
      <c r="AY1310" s="10"/>
      <c r="AZ1310" s="10"/>
      <c r="BA1310" s="10"/>
      <c r="BB1310" s="10"/>
      <c r="BC1310" s="10"/>
      <c r="BD1310" s="10"/>
      <c r="BE1310" s="10"/>
      <c r="BF1310" s="10"/>
      <c r="BG1310" s="10"/>
      <c r="BH1310" s="10"/>
      <c r="BI1310" s="10"/>
      <c r="BJ1310" s="10"/>
      <c r="BK1310" s="10"/>
      <c r="BL1310" s="10"/>
    </row>
    <row r="1311" spans="5:64" s="8" customFormat="1" x14ac:dyDescent="0.2">
      <c r="E1311" s="85"/>
      <c r="AR1311" s="10"/>
      <c r="AS1311" s="10"/>
      <c r="AT1311" s="10"/>
      <c r="AU1311" s="10"/>
      <c r="AV1311" s="10"/>
      <c r="AW1311" s="10"/>
      <c r="AX1311" s="10"/>
      <c r="AY1311" s="10"/>
      <c r="AZ1311" s="10"/>
      <c r="BA1311" s="10"/>
      <c r="BB1311" s="10"/>
      <c r="BC1311" s="10"/>
      <c r="BD1311" s="10"/>
      <c r="BE1311" s="10"/>
      <c r="BF1311" s="10"/>
      <c r="BG1311" s="10"/>
      <c r="BH1311" s="10"/>
      <c r="BI1311" s="10"/>
      <c r="BJ1311" s="10"/>
      <c r="BK1311" s="10"/>
      <c r="BL1311" s="10"/>
    </row>
    <row r="1312" spans="5:64" s="8" customFormat="1" x14ac:dyDescent="0.2">
      <c r="E1312" s="85"/>
      <c r="AR1312" s="10"/>
      <c r="AS1312" s="10"/>
      <c r="AT1312" s="10"/>
      <c r="AU1312" s="10"/>
      <c r="AV1312" s="10"/>
      <c r="AW1312" s="10"/>
      <c r="AX1312" s="10"/>
      <c r="AY1312" s="10"/>
      <c r="AZ1312" s="10"/>
      <c r="BA1312" s="10"/>
      <c r="BB1312" s="10"/>
      <c r="BC1312" s="10"/>
      <c r="BD1312" s="10"/>
      <c r="BE1312" s="10"/>
      <c r="BF1312" s="10"/>
      <c r="BG1312" s="10"/>
      <c r="BH1312" s="10"/>
      <c r="BI1312" s="10"/>
      <c r="BJ1312" s="10"/>
      <c r="BK1312" s="10"/>
      <c r="BL1312" s="10"/>
    </row>
    <row r="1313" spans="5:64" s="8" customFormat="1" x14ac:dyDescent="0.2">
      <c r="E1313" s="85"/>
      <c r="AR1313" s="10"/>
      <c r="AS1313" s="10"/>
      <c r="AT1313" s="10"/>
      <c r="AU1313" s="10"/>
      <c r="AV1313" s="10"/>
      <c r="AW1313" s="10"/>
      <c r="AX1313" s="10"/>
      <c r="AY1313" s="10"/>
      <c r="AZ1313" s="10"/>
      <c r="BA1313" s="10"/>
      <c r="BB1313" s="10"/>
      <c r="BC1313" s="10"/>
      <c r="BD1313" s="10"/>
      <c r="BE1313" s="10"/>
      <c r="BF1313" s="10"/>
      <c r="BG1313" s="10"/>
      <c r="BH1313" s="10"/>
      <c r="BI1313" s="10"/>
      <c r="BJ1313" s="10"/>
      <c r="BK1313" s="10"/>
      <c r="BL1313" s="10"/>
    </row>
    <row r="1314" spans="5:64" s="8" customFormat="1" x14ac:dyDescent="0.2">
      <c r="E1314" s="85"/>
      <c r="AR1314" s="10"/>
      <c r="AS1314" s="10"/>
      <c r="AT1314" s="10"/>
      <c r="AU1314" s="10"/>
      <c r="AV1314" s="10"/>
      <c r="AW1314" s="10"/>
      <c r="AX1314" s="10"/>
      <c r="AY1314" s="10"/>
      <c r="AZ1314" s="10"/>
      <c r="BA1314" s="10"/>
      <c r="BB1314" s="10"/>
      <c r="BC1314" s="10"/>
      <c r="BD1314" s="10"/>
      <c r="BE1314" s="10"/>
      <c r="BF1314" s="10"/>
      <c r="BG1314" s="10"/>
      <c r="BH1314" s="10"/>
      <c r="BI1314" s="10"/>
      <c r="BJ1314" s="10"/>
      <c r="BK1314" s="10"/>
      <c r="BL1314" s="10"/>
    </row>
    <row r="1315" spans="5:64" s="8" customFormat="1" x14ac:dyDescent="0.2">
      <c r="E1315" s="85"/>
      <c r="AR1315" s="10"/>
      <c r="AS1315" s="10"/>
      <c r="AT1315" s="10"/>
      <c r="AU1315" s="10"/>
      <c r="AV1315" s="10"/>
      <c r="AW1315" s="10"/>
      <c r="AX1315" s="10"/>
      <c r="AY1315" s="10"/>
      <c r="AZ1315" s="10"/>
      <c r="BA1315" s="10"/>
      <c r="BB1315" s="10"/>
      <c r="BC1315" s="10"/>
      <c r="BD1315" s="10"/>
      <c r="BE1315" s="10"/>
      <c r="BF1315" s="10"/>
      <c r="BG1315" s="10"/>
      <c r="BH1315" s="10"/>
      <c r="BI1315" s="10"/>
      <c r="BJ1315" s="10"/>
      <c r="BK1315" s="10"/>
      <c r="BL1315" s="10"/>
    </row>
    <row r="1316" spans="5:64" s="8" customFormat="1" x14ac:dyDescent="0.2">
      <c r="E1316" s="85"/>
      <c r="AR1316" s="10"/>
      <c r="AS1316" s="10"/>
      <c r="AT1316" s="10"/>
      <c r="AU1316" s="10"/>
      <c r="AV1316" s="10"/>
      <c r="AW1316" s="10"/>
      <c r="AX1316" s="10"/>
      <c r="AY1316" s="10"/>
      <c r="AZ1316" s="10"/>
      <c r="BA1316" s="10"/>
      <c r="BB1316" s="10"/>
      <c r="BC1316" s="10"/>
      <c r="BD1316" s="10"/>
      <c r="BE1316" s="10"/>
      <c r="BF1316" s="10"/>
      <c r="BG1316" s="10"/>
      <c r="BH1316" s="10"/>
      <c r="BI1316" s="10"/>
      <c r="BJ1316" s="10"/>
      <c r="BK1316" s="10"/>
      <c r="BL1316" s="10"/>
    </row>
    <row r="1317" spans="5:64" s="8" customFormat="1" x14ac:dyDescent="0.2">
      <c r="E1317" s="85"/>
      <c r="AR1317" s="10"/>
      <c r="AS1317" s="10"/>
      <c r="AT1317" s="10"/>
      <c r="AU1317" s="10"/>
      <c r="AV1317" s="10"/>
      <c r="AW1317" s="10"/>
      <c r="AX1317" s="10"/>
      <c r="AY1317" s="10"/>
      <c r="AZ1317" s="10"/>
      <c r="BA1317" s="10"/>
      <c r="BB1317" s="10"/>
      <c r="BC1317" s="10"/>
      <c r="BD1317" s="10"/>
      <c r="BE1317" s="10"/>
      <c r="BF1317" s="10"/>
      <c r="BG1317" s="10"/>
      <c r="BH1317" s="10"/>
      <c r="BI1317" s="10"/>
      <c r="BJ1317" s="10"/>
      <c r="BK1317" s="10"/>
      <c r="BL1317" s="10"/>
    </row>
    <row r="1318" spans="5:64" s="8" customFormat="1" x14ac:dyDescent="0.2">
      <c r="E1318" s="85"/>
      <c r="AR1318" s="10"/>
      <c r="AS1318" s="10"/>
      <c r="AT1318" s="10"/>
      <c r="AU1318" s="10"/>
      <c r="AV1318" s="10"/>
      <c r="AW1318" s="10"/>
      <c r="AX1318" s="10"/>
      <c r="AY1318" s="10"/>
      <c r="AZ1318" s="10"/>
      <c r="BA1318" s="10"/>
      <c r="BB1318" s="10"/>
      <c r="BC1318" s="10"/>
      <c r="BD1318" s="10"/>
      <c r="BE1318" s="10"/>
      <c r="BF1318" s="10"/>
      <c r="BG1318" s="10"/>
      <c r="BH1318" s="10"/>
      <c r="BI1318" s="10"/>
      <c r="BJ1318" s="10"/>
      <c r="BK1318" s="10"/>
      <c r="BL1318" s="10"/>
    </row>
    <row r="1319" spans="5:64" s="8" customFormat="1" x14ac:dyDescent="0.2">
      <c r="E1319" s="85"/>
      <c r="AR1319" s="10"/>
      <c r="AS1319" s="10"/>
      <c r="AT1319" s="10"/>
      <c r="AU1319" s="10"/>
      <c r="AV1319" s="10"/>
      <c r="AW1319" s="10"/>
      <c r="AX1319" s="10"/>
      <c r="AY1319" s="10"/>
      <c r="AZ1319" s="10"/>
      <c r="BA1319" s="10"/>
      <c r="BB1319" s="10"/>
      <c r="BC1319" s="10"/>
      <c r="BD1319" s="10"/>
      <c r="BE1319" s="10"/>
      <c r="BF1319" s="10"/>
      <c r="BG1319" s="10"/>
      <c r="BH1319" s="10"/>
      <c r="BI1319" s="10"/>
      <c r="BJ1319" s="10"/>
      <c r="BK1319" s="10"/>
      <c r="BL1319" s="10"/>
    </row>
    <row r="1320" spans="5:64" s="8" customFormat="1" x14ac:dyDescent="0.2">
      <c r="E1320" s="85"/>
      <c r="AR1320" s="10"/>
      <c r="AS1320" s="10"/>
      <c r="AT1320" s="10"/>
      <c r="AU1320" s="10"/>
      <c r="AV1320" s="10"/>
      <c r="AW1320" s="10"/>
      <c r="AX1320" s="10"/>
      <c r="AY1320" s="10"/>
      <c r="AZ1320" s="10"/>
      <c r="BA1320" s="10"/>
      <c r="BB1320" s="10"/>
      <c r="BC1320" s="10"/>
      <c r="BD1320" s="10"/>
      <c r="BE1320" s="10"/>
      <c r="BF1320" s="10"/>
      <c r="BG1320" s="10"/>
      <c r="BH1320" s="10"/>
      <c r="BI1320" s="10"/>
      <c r="BJ1320" s="10"/>
      <c r="BK1320" s="10"/>
      <c r="BL1320" s="10"/>
    </row>
    <row r="1321" spans="5:64" s="8" customFormat="1" x14ac:dyDescent="0.2">
      <c r="E1321" s="85"/>
      <c r="AR1321" s="10"/>
      <c r="AS1321" s="10"/>
      <c r="AT1321" s="10"/>
      <c r="AU1321" s="10"/>
      <c r="AV1321" s="10"/>
      <c r="AW1321" s="10"/>
      <c r="AX1321" s="10"/>
      <c r="AY1321" s="10"/>
      <c r="AZ1321" s="10"/>
      <c r="BA1321" s="10"/>
      <c r="BB1321" s="10"/>
      <c r="BC1321" s="10"/>
      <c r="BD1321" s="10"/>
      <c r="BE1321" s="10"/>
      <c r="BF1321" s="10"/>
      <c r="BG1321" s="10"/>
      <c r="BH1321" s="10"/>
      <c r="BI1321" s="10"/>
      <c r="BJ1321" s="10"/>
      <c r="BK1321" s="10"/>
      <c r="BL1321" s="10"/>
    </row>
    <row r="1322" spans="5:64" s="8" customFormat="1" x14ac:dyDescent="0.2">
      <c r="E1322" s="85"/>
      <c r="AR1322" s="10"/>
      <c r="AS1322" s="10"/>
      <c r="AT1322" s="10"/>
      <c r="AU1322" s="10"/>
      <c r="AV1322" s="10"/>
      <c r="AW1322" s="10"/>
      <c r="AX1322" s="10"/>
      <c r="AY1322" s="10"/>
      <c r="AZ1322" s="10"/>
      <c r="BA1322" s="10"/>
      <c r="BB1322" s="10"/>
      <c r="BC1322" s="10"/>
      <c r="BD1322" s="10"/>
      <c r="BE1322" s="10"/>
      <c r="BF1322" s="10"/>
      <c r="BG1322" s="10"/>
      <c r="BH1322" s="10"/>
      <c r="BI1322" s="10"/>
      <c r="BJ1322" s="10"/>
      <c r="BK1322" s="10"/>
      <c r="BL1322" s="10"/>
    </row>
    <row r="1323" spans="5:64" s="8" customFormat="1" x14ac:dyDescent="0.2">
      <c r="E1323" s="85"/>
      <c r="AR1323" s="10"/>
      <c r="AS1323" s="10"/>
      <c r="AT1323" s="10"/>
      <c r="AU1323" s="10"/>
      <c r="AV1323" s="10"/>
      <c r="AW1323" s="10"/>
      <c r="AX1323" s="10"/>
      <c r="AY1323" s="10"/>
      <c r="AZ1323" s="10"/>
      <c r="BA1323" s="10"/>
      <c r="BB1323" s="10"/>
      <c r="BC1323" s="10"/>
      <c r="BD1323" s="10"/>
      <c r="BE1323" s="10"/>
      <c r="BF1323" s="10"/>
      <c r="BG1323" s="10"/>
      <c r="BH1323" s="10"/>
      <c r="BI1323" s="10"/>
      <c r="BJ1323" s="10"/>
      <c r="BK1323" s="10"/>
      <c r="BL1323" s="10"/>
    </row>
    <row r="1324" spans="5:64" s="8" customFormat="1" x14ac:dyDescent="0.2">
      <c r="E1324" s="85"/>
      <c r="AR1324" s="10"/>
      <c r="AS1324" s="10"/>
      <c r="AT1324" s="10"/>
      <c r="AU1324" s="10"/>
      <c r="AV1324" s="10"/>
      <c r="AW1324" s="10"/>
      <c r="AX1324" s="10"/>
      <c r="AY1324" s="10"/>
      <c r="AZ1324" s="10"/>
      <c r="BA1324" s="10"/>
      <c r="BB1324" s="10"/>
      <c r="BC1324" s="10"/>
      <c r="BD1324" s="10"/>
      <c r="BE1324" s="10"/>
      <c r="BF1324" s="10"/>
      <c r="BG1324" s="10"/>
      <c r="BH1324" s="10"/>
      <c r="BI1324" s="10"/>
      <c r="BJ1324" s="10"/>
      <c r="BK1324" s="10"/>
      <c r="BL1324" s="10"/>
    </row>
    <row r="1325" spans="5:64" s="8" customFormat="1" x14ac:dyDescent="0.2">
      <c r="E1325" s="85"/>
      <c r="AR1325" s="10"/>
      <c r="AS1325" s="10"/>
      <c r="AT1325" s="10"/>
      <c r="AU1325" s="10"/>
      <c r="AV1325" s="10"/>
      <c r="AW1325" s="10"/>
      <c r="AX1325" s="10"/>
      <c r="AY1325" s="10"/>
      <c r="AZ1325" s="10"/>
      <c r="BA1325" s="10"/>
      <c r="BB1325" s="10"/>
      <c r="BC1325" s="10"/>
      <c r="BD1325" s="10"/>
      <c r="BE1325" s="10"/>
      <c r="BF1325" s="10"/>
      <c r="BG1325" s="10"/>
      <c r="BH1325" s="10"/>
      <c r="BI1325" s="10"/>
      <c r="BJ1325" s="10"/>
      <c r="BK1325" s="10"/>
      <c r="BL1325" s="10"/>
    </row>
    <row r="1326" spans="5:64" s="8" customFormat="1" x14ac:dyDescent="0.2">
      <c r="E1326" s="85"/>
      <c r="AR1326" s="10"/>
      <c r="AS1326" s="10"/>
      <c r="AT1326" s="10"/>
      <c r="AU1326" s="10"/>
      <c r="AV1326" s="10"/>
      <c r="AW1326" s="10"/>
      <c r="AX1326" s="10"/>
      <c r="AY1326" s="10"/>
      <c r="AZ1326" s="10"/>
      <c r="BA1326" s="10"/>
      <c r="BB1326" s="10"/>
      <c r="BC1326" s="10"/>
      <c r="BD1326" s="10"/>
      <c r="BE1326" s="10"/>
      <c r="BF1326" s="10"/>
      <c r="BG1326" s="10"/>
      <c r="BH1326" s="10"/>
      <c r="BI1326" s="10"/>
      <c r="BJ1326" s="10"/>
      <c r="BK1326" s="10"/>
      <c r="BL1326" s="10"/>
    </row>
    <row r="1327" spans="5:64" s="8" customFormat="1" x14ac:dyDescent="0.2">
      <c r="E1327" s="85"/>
      <c r="AR1327" s="10"/>
      <c r="AS1327" s="10"/>
      <c r="AT1327" s="10"/>
      <c r="AU1327" s="10"/>
      <c r="AV1327" s="10"/>
      <c r="AW1327" s="10"/>
      <c r="AX1327" s="10"/>
      <c r="AY1327" s="10"/>
      <c r="AZ1327" s="10"/>
      <c r="BA1327" s="10"/>
      <c r="BB1327" s="10"/>
      <c r="BC1327" s="10"/>
      <c r="BD1327" s="10"/>
      <c r="BE1327" s="10"/>
      <c r="BF1327" s="10"/>
      <c r="BG1327" s="10"/>
      <c r="BH1327" s="10"/>
      <c r="BI1327" s="10"/>
      <c r="BJ1327" s="10"/>
      <c r="BK1327" s="10"/>
      <c r="BL1327" s="10"/>
    </row>
    <row r="1328" spans="5:64" s="8" customFormat="1" x14ac:dyDescent="0.2">
      <c r="E1328" s="85"/>
      <c r="AR1328" s="10"/>
      <c r="AS1328" s="10"/>
      <c r="AT1328" s="10"/>
      <c r="AU1328" s="10"/>
      <c r="AV1328" s="10"/>
      <c r="AW1328" s="10"/>
      <c r="AX1328" s="10"/>
      <c r="AY1328" s="10"/>
      <c r="AZ1328" s="10"/>
      <c r="BA1328" s="10"/>
      <c r="BB1328" s="10"/>
      <c r="BC1328" s="10"/>
      <c r="BD1328" s="10"/>
      <c r="BE1328" s="10"/>
      <c r="BF1328" s="10"/>
      <c r="BG1328" s="10"/>
      <c r="BH1328" s="10"/>
      <c r="BI1328" s="10"/>
      <c r="BJ1328" s="10"/>
      <c r="BK1328" s="10"/>
      <c r="BL1328" s="10"/>
    </row>
    <row r="1329" spans="5:64" s="8" customFormat="1" x14ac:dyDescent="0.2">
      <c r="E1329" s="85"/>
      <c r="AR1329" s="10"/>
      <c r="AS1329" s="10"/>
      <c r="AT1329" s="10"/>
      <c r="AU1329" s="10"/>
      <c r="AV1329" s="10"/>
      <c r="AW1329" s="10"/>
      <c r="AX1329" s="10"/>
      <c r="AY1329" s="10"/>
      <c r="AZ1329" s="10"/>
      <c r="BA1329" s="10"/>
      <c r="BB1329" s="10"/>
      <c r="BC1329" s="10"/>
      <c r="BD1329" s="10"/>
      <c r="BE1329" s="10"/>
      <c r="BF1329" s="10"/>
      <c r="BG1329" s="10"/>
      <c r="BH1329" s="10"/>
      <c r="BI1329" s="10"/>
      <c r="BJ1329" s="10"/>
      <c r="BK1329" s="10"/>
      <c r="BL1329" s="10"/>
    </row>
    <row r="1330" spans="5:64" s="8" customFormat="1" x14ac:dyDescent="0.2">
      <c r="E1330" s="85"/>
      <c r="AR1330" s="10"/>
      <c r="AS1330" s="10"/>
      <c r="AT1330" s="10"/>
      <c r="AU1330" s="10"/>
      <c r="AV1330" s="10"/>
      <c r="AW1330" s="10"/>
      <c r="AX1330" s="10"/>
      <c r="AY1330" s="10"/>
      <c r="AZ1330" s="10"/>
      <c r="BA1330" s="10"/>
      <c r="BB1330" s="10"/>
      <c r="BC1330" s="10"/>
      <c r="BD1330" s="10"/>
      <c r="BE1330" s="10"/>
      <c r="BF1330" s="10"/>
      <c r="BG1330" s="10"/>
      <c r="BH1330" s="10"/>
      <c r="BI1330" s="10"/>
      <c r="BJ1330" s="10"/>
      <c r="BK1330" s="10"/>
      <c r="BL1330" s="10"/>
    </row>
    <row r="1331" spans="5:64" s="8" customFormat="1" x14ac:dyDescent="0.2">
      <c r="E1331" s="85"/>
      <c r="AR1331" s="10"/>
      <c r="AS1331" s="10"/>
      <c r="AT1331" s="10"/>
      <c r="AU1331" s="10"/>
      <c r="AV1331" s="10"/>
      <c r="AW1331" s="10"/>
      <c r="AX1331" s="10"/>
      <c r="AY1331" s="10"/>
      <c r="AZ1331" s="10"/>
      <c r="BA1331" s="10"/>
      <c r="BB1331" s="10"/>
      <c r="BC1331" s="10"/>
      <c r="BD1331" s="10"/>
      <c r="BE1331" s="10"/>
      <c r="BF1331" s="10"/>
      <c r="BG1331" s="10"/>
      <c r="BH1331" s="10"/>
      <c r="BI1331" s="10"/>
      <c r="BJ1331" s="10"/>
      <c r="BK1331" s="10"/>
      <c r="BL1331" s="10"/>
    </row>
    <row r="1332" spans="5:64" s="8" customFormat="1" x14ac:dyDescent="0.2">
      <c r="E1332" s="85"/>
      <c r="AR1332" s="10"/>
      <c r="AS1332" s="10"/>
      <c r="AT1332" s="10"/>
      <c r="AU1332" s="10"/>
      <c r="AV1332" s="10"/>
      <c r="AW1332" s="10"/>
      <c r="AX1332" s="10"/>
      <c r="AY1332" s="10"/>
      <c r="AZ1332" s="10"/>
      <c r="BA1332" s="10"/>
      <c r="BB1332" s="10"/>
      <c r="BC1332" s="10"/>
      <c r="BD1332" s="10"/>
      <c r="BE1332" s="10"/>
      <c r="BF1332" s="10"/>
      <c r="BG1332" s="10"/>
      <c r="BH1332" s="10"/>
      <c r="BI1332" s="10"/>
      <c r="BJ1332" s="10"/>
      <c r="BK1332" s="10"/>
      <c r="BL1332" s="10"/>
    </row>
    <row r="1333" spans="5:64" s="8" customFormat="1" x14ac:dyDescent="0.2">
      <c r="E1333" s="85"/>
      <c r="AR1333" s="10"/>
      <c r="AS1333" s="10"/>
      <c r="AT1333" s="10"/>
      <c r="AU1333" s="10"/>
      <c r="AV1333" s="10"/>
      <c r="AW1333" s="10"/>
      <c r="AX1333" s="10"/>
      <c r="AY1333" s="10"/>
      <c r="AZ1333" s="10"/>
      <c r="BA1333" s="10"/>
      <c r="BB1333" s="10"/>
      <c r="BC1333" s="10"/>
      <c r="BD1333" s="10"/>
      <c r="BE1333" s="10"/>
      <c r="BF1333" s="10"/>
      <c r="BG1333" s="10"/>
      <c r="BH1333" s="10"/>
      <c r="BI1333" s="10"/>
      <c r="BJ1333" s="10"/>
      <c r="BK1333" s="10"/>
      <c r="BL1333" s="10"/>
    </row>
    <row r="1334" spans="5:64" s="8" customFormat="1" x14ac:dyDescent="0.2">
      <c r="E1334" s="85"/>
      <c r="AR1334" s="10"/>
      <c r="AS1334" s="10"/>
      <c r="AT1334" s="10"/>
      <c r="AU1334" s="10"/>
      <c r="AV1334" s="10"/>
      <c r="AW1334" s="10"/>
      <c r="AX1334" s="10"/>
      <c r="AY1334" s="10"/>
      <c r="AZ1334" s="10"/>
      <c r="BA1334" s="10"/>
      <c r="BB1334" s="10"/>
      <c r="BC1334" s="10"/>
      <c r="BD1334" s="10"/>
      <c r="BE1334" s="10"/>
      <c r="BF1334" s="10"/>
      <c r="BG1334" s="10"/>
      <c r="BH1334" s="10"/>
      <c r="BI1334" s="10"/>
      <c r="BJ1334" s="10"/>
      <c r="BK1334" s="10"/>
      <c r="BL1334" s="10"/>
    </row>
    <row r="1335" spans="5:64" s="8" customFormat="1" x14ac:dyDescent="0.2">
      <c r="E1335" s="85"/>
      <c r="AR1335" s="10"/>
      <c r="AS1335" s="10"/>
      <c r="AT1335" s="10"/>
      <c r="AU1335" s="10"/>
      <c r="AV1335" s="10"/>
      <c r="AW1335" s="10"/>
      <c r="AX1335" s="10"/>
      <c r="AY1335" s="10"/>
      <c r="AZ1335" s="10"/>
      <c r="BA1335" s="10"/>
      <c r="BB1335" s="10"/>
      <c r="BC1335" s="10"/>
      <c r="BD1335" s="10"/>
      <c r="BE1335" s="10"/>
      <c r="BF1335" s="10"/>
      <c r="BG1335" s="10"/>
      <c r="BH1335" s="10"/>
      <c r="BI1335" s="10"/>
      <c r="BJ1335" s="10"/>
      <c r="BK1335" s="10"/>
      <c r="BL1335" s="10"/>
    </row>
    <row r="1336" spans="5:64" s="8" customFormat="1" x14ac:dyDescent="0.2">
      <c r="E1336" s="85"/>
      <c r="AR1336" s="10"/>
      <c r="AS1336" s="10"/>
      <c r="AT1336" s="10"/>
      <c r="AU1336" s="10"/>
      <c r="AV1336" s="10"/>
      <c r="AW1336" s="10"/>
      <c r="AX1336" s="10"/>
      <c r="AY1336" s="10"/>
      <c r="AZ1336" s="10"/>
      <c r="BA1336" s="10"/>
      <c r="BB1336" s="10"/>
      <c r="BC1336" s="10"/>
      <c r="BD1336" s="10"/>
      <c r="BE1336" s="10"/>
      <c r="BF1336" s="10"/>
      <c r="BG1336" s="10"/>
      <c r="BH1336" s="10"/>
      <c r="BI1336" s="10"/>
      <c r="BJ1336" s="10"/>
      <c r="BK1336" s="10"/>
      <c r="BL1336" s="10"/>
    </row>
    <row r="1337" spans="5:64" s="8" customFormat="1" x14ac:dyDescent="0.2">
      <c r="E1337" s="85"/>
      <c r="AR1337" s="10"/>
      <c r="AS1337" s="10"/>
      <c r="AT1337" s="10"/>
      <c r="AU1337" s="10"/>
      <c r="AV1337" s="10"/>
      <c r="AW1337" s="10"/>
      <c r="AX1337" s="10"/>
      <c r="AY1337" s="10"/>
      <c r="AZ1337" s="10"/>
      <c r="BA1337" s="10"/>
      <c r="BB1337" s="10"/>
      <c r="BC1337" s="10"/>
      <c r="BD1337" s="10"/>
      <c r="BE1337" s="10"/>
      <c r="BF1337" s="10"/>
      <c r="BG1337" s="10"/>
      <c r="BH1337" s="10"/>
      <c r="BI1337" s="10"/>
      <c r="BJ1337" s="10"/>
      <c r="BK1337" s="10"/>
      <c r="BL1337" s="10"/>
    </row>
    <row r="1338" spans="5:64" s="8" customFormat="1" x14ac:dyDescent="0.2">
      <c r="E1338" s="85"/>
      <c r="AR1338" s="10"/>
      <c r="AS1338" s="10"/>
      <c r="AT1338" s="10"/>
      <c r="AU1338" s="10"/>
      <c r="AV1338" s="10"/>
      <c r="AW1338" s="10"/>
      <c r="AX1338" s="10"/>
      <c r="AY1338" s="10"/>
      <c r="AZ1338" s="10"/>
      <c r="BA1338" s="10"/>
      <c r="BB1338" s="10"/>
      <c r="BC1338" s="10"/>
      <c r="BD1338" s="10"/>
      <c r="BE1338" s="10"/>
      <c r="BF1338" s="10"/>
      <c r="BG1338" s="10"/>
      <c r="BH1338" s="10"/>
      <c r="BI1338" s="10"/>
      <c r="BJ1338" s="10"/>
      <c r="BK1338" s="10"/>
      <c r="BL1338" s="10"/>
    </row>
    <row r="1339" spans="5:64" s="8" customFormat="1" x14ac:dyDescent="0.2">
      <c r="E1339" s="85"/>
      <c r="AR1339" s="10"/>
      <c r="AS1339" s="10"/>
      <c r="AT1339" s="10"/>
      <c r="AU1339" s="10"/>
      <c r="AV1339" s="10"/>
      <c r="AW1339" s="10"/>
      <c r="AX1339" s="10"/>
      <c r="AY1339" s="10"/>
      <c r="AZ1339" s="10"/>
      <c r="BA1339" s="10"/>
      <c r="BB1339" s="10"/>
      <c r="BC1339" s="10"/>
      <c r="BD1339" s="10"/>
      <c r="BE1339" s="10"/>
      <c r="BF1339" s="10"/>
      <c r="BG1339" s="10"/>
      <c r="BH1339" s="10"/>
      <c r="BI1339" s="10"/>
      <c r="BJ1339" s="10"/>
      <c r="BK1339" s="10"/>
      <c r="BL1339" s="10"/>
    </row>
    <row r="1340" spans="5:64" s="8" customFormat="1" x14ac:dyDescent="0.2">
      <c r="E1340" s="85"/>
      <c r="AR1340" s="10"/>
      <c r="AS1340" s="10"/>
      <c r="AT1340" s="10"/>
      <c r="AU1340" s="10"/>
      <c r="AV1340" s="10"/>
      <c r="AW1340" s="10"/>
      <c r="AX1340" s="10"/>
      <c r="AY1340" s="10"/>
      <c r="AZ1340" s="10"/>
      <c r="BA1340" s="10"/>
      <c r="BB1340" s="10"/>
      <c r="BC1340" s="10"/>
      <c r="BD1340" s="10"/>
      <c r="BE1340" s="10"/>
      <c r="BF1340" s="10"/>
      <c r="BG1340" s="10"/>
      <c r="BH1340" s="10"/>
      <c r="BI1340" s="10"/>
      <c r="BJ1340" s="10"/>
      <c r="BK1340" s="10"/>
      <c r="BL1340" s="10"/>
    </row>
    <row r="1341" spans="5:64" s="8" customFormat="1" x14ac:dyDescent="0.2">
      <c r="E1341" s="85"/>
      <c r="AR1341" s="10"/>
      <c r="AS1341" s="10"/>
      <c r="AT1341" s="10"/>
      <c r="AU1341" s="10"/>
      <c r="AV1341" s="10"/>
      <c r="AW1341" s="10"/>
      <c r="AX1341" s="10"/>
      <c r="AY1341" s="10"/>
      <c r="AZ1341" s="10"/>
      <c r="BA1341" s="10"/>
      <c r="BB1341" s="10"/>
      <c r="BC1341" s="10"/>
      <c r="BD1341" s="10"/>
      <c r="BE1341" s="10"/>
      <c r="BF1341" s="10"/>
      <c r="BG1341" s="10"/>
      <c r="BH1341" s="10"/>
      <c r="BI1341" s="10"/>
      <c r="BJ1341" s="10"/>
      <c r="BK1341" s="10"/>
      <c r="BL1341" s="10"/>
    </row>
    <row r="1342" spans="5:64" s="8" customFormat="1" x14ac:dyDescent="0.2">
      <c r="E1342" s="85"/>
      <c r="AR1342" s="10"/>
      <c r="AS1342" s="10"/>
      <c r="AT1342" s="10"/>
      <c r="AU1342" s="10"/>
      <c r="AV1342" s="10"/>
      <c r="AW1342" s="10"/>
      <c r="AX1342" s="10"/>
      <c r="AY1342" s="10"/>
      <c r="AZ1342" s="10"/>
      <c r="BA1342" s="10"/>
      <c r="BB1342" s="10"/>
      <c r="BC1342" s="10"/>
      <c r="BD1342" s="10"/>
      <c r="BE1342" s="10"/>
      <c r="BF1342" s="10"/>
      <c r="BG1342" s="10"/>
      <c r="BH1342" s="10"/>
      <c r="BI1342" s="10"/>
      <c r="BJ1342" s="10"/>
      <c r="BK1342" s="10"/>
      <c r="BL1342" s="10"/>
    </row>
    <row r="1343" spans="5:64" s="8" customFormat="1" x14ac:dyDescent="0.2">
      <c r="E1343" s="85"/>
      <c r="AR1343" s="10"/>
      <c r="AS1343" s="10"/>
      <c r="AT1343" s="10"/>
      <c r="AU1343" s="10"/>
      <c r="AV1343" s="10"/>
      <c r="AW1343" s="10"/>
      <c r="AX1343" s="10"/>
      <c r="AY1343" s="10"/>
      <c r="AZ1343" s="10"/>
      <c r="BA1343" s="10"/>
      <c r="BB1343" s="10"/>
      <c r="BC1343" s="10"/>
      <c r="BD1343" s="10"/>
      <c r="BE1343" s="10"/>
      <c r="BF1343" s="10"/>
      <c r="BG1343" s="10"/>
      <c r="BH1343" s="10"/>
      <c r="BI1343" s="10"/>
      <c r="BJ1343" s="10"/>
      <c r="BK1343" s="10"/>
      <c r="BL1343" s="10"/>
    </row>
    <row r="1344" spans="5:64" s="8" customFormat="1" x14ac:dyDescent="0.2">
      <c r="E1344" s="85"/>
      <c r="AR1344" s="10"/>
      <c r="AS1344" s="10"/>
      <c r="AT1344" s="10"/>
      <c r="AU1344" s="10"/>
      <c r="AV1344" s="10"/>
      <c r="AW1344" s="10"/>
      <c r="AX1344" s="10"/>
      <c r="AY1344" s="10"/>
      <c r="AZ1344" s="10"/>
      <c r="BA1344" s="10"/>
      <c r="BB1344" s="10"/>
      <c r="BC1344" s="10"/>
      <c r="BD1344" s="10"/>
      <c r="BE1344" s="10"/>
      <c r="BF1344" s="10"/>
      <c r="BG1344" s="10"/>
      <c r="BH1344" s="10"/>
      <c r="BI1344" s="10"/>
      <c r="BJ1344" s="10"/>
      <c r="BK1344" s="10"/>
      <c r="BL1344" s="10"/>
    </row>
    <row r="1345" spans="5:64" s="8" customFormat="1" x14ac:dyDescent="0.2">
      <c r="E1345" s="85"/>
      <c r="AR1345" s="10"/>
      <c r="AS1345" s="10"/>
      <c r="AT1345" s="10"/>
      <c r="AU1345" s="10"/>
      <c r="AV1345" s="10"/>
      <c r="AW1345" s="10"/>
      <c r="AX1345" s="10"/>
      <c r="AY1345" s="10"/>
      <c r="AZ1345" s="10"/>
      <c r="BA1345" s="10"/>
      <c r="BB1345" s="10"/>
      <c r="BC1345" s="10"/>
      <c r="BD1345" s="10"/>
      <c r="BE1345" s="10"/>
      <c r="BF1345" s="10"/>
      <c r="BG1345" s="10"/>
      <c r="BH1345" s="10"/>
      <c r="BI1345" s="10"/>
      <c r="BJ1345" s="10"/>
      <c r="BK1345" s="10"/>
      <c r="BL1345" s="10"/>
    </row>
    <row r="1346" spans="5:64" s="8" customFormat="1" x14ac:dyDescent="0.2">
      <c r="E1346" s="85"/>
      <c r="AR1346" s="10"/>
      <c r="AS1346" s="10"/>
      <c r="AT1346" s="10"/>
      <c r="AU1346" s="10"/>
      <c r="AV1346" s="10"/>
      <c r="AW1346" s="10"/>
      <c r="AX1346" s="10"/>
      <c r="AY1346" s="10"/>
      <c r="AZ1346" s="10"/>
      <c r="BA1346" s="10"/>
      <c r="BB1346" s="10"/>
      <c r="BC1346" s="10"/>
      <c r="BD1346" s="10"/>
      <c r="BE1346" s="10"/>
      <c r="BF1346" s="10"/>
      <c r="BG1346" s="10"/>
      <c r="BH1346" s="10"/>
      <c r="BI1346" s="10"/>
      <c r="BJ1346" s="10"/>
      <c r="BK1346" s="10"/>
      <c r="BL1346" s="10"/>
    </row>
    <row r="1347" spans="5:64" s="8" customFormat="1" x14ac:dyDescent="0.2">
      <c r="E1347" s="85"/>
      <c r="AR1347" s="10"/>
      <c r="AS1347" s="10"/>
      <c r="AT1347" s="10"/>
      <c r="AU1347" s="10"/>
      <c r="AV1347" s="10"/>
      <c r="AW1347" s="10"/>
      <c r="AX1347" s="10"/>
      <c r="AY1347" s="10"/>
      <c r="AZ1347" s="10"/>
      <c r="BA1347" s="10"/>
      <c r="BB1347" s="10"/>
      <c r="BC1347" s="10"/>
      <c r="BD1347" s="10"/>
      <c r="BE1347" s="10"/>
      <c r="BF1347" s="10"/>
      <c r="BG1347" s="10"/>
      <c r="BH1347" s="10"/>
      <c r="BI1347" s="10"/>
      <c r="BJ1347" s="10"/>
      <c r="BK1347" s="10"/>
      <c r="BL1347" s="10"/>
    </row>
    <row r="1348" spans="5:64" s="8" customFormat="1" x14ac:dyDescent="0.2">
      <c r="E1348" s="85"/>
      <c r="AR1348" s="10"/>
      <c r="AS1348" s="10"/>
      <c r="AT1348" s="10"/>
      <c r="AU1348" s="10"/>
      <c r="AV1348" s="10"/>
      <c r="AW1348" s="10"/>
      <c r="AX1348" s="10"/>
      <c r="AY1348" s="10"/>
      <c r="AZ1348" s="10"/>
      <c r="BA1348" s="10"/>
      <c r="BB1348" s="10"/>
      <c r="BC1348" s="10"/>
      <c r="BD1348" s="10"/>
      <c r="BE1348" s="10"/>
      <c r="BF1348" s="10"/>
      <c r="BG1348" s="10"/>
      <c r="BH1348" s="10"/>
      <c r="BI1348" s="10"/>
      <c r="BJ1348" s="10"/>
      <c r="BK1348" s="10"/>
      <c r="BL1348" s="10"/>
    </row>
    <row r="1349" spans="5:64" s="8" customFormat="1" x14ac:dyDescent="0.2">
      <c r="E1349" s="85"/>
      <c r="AR1349" s="10"/>
      <c r="AS1349" s="10"/>
      <c r="AT1349" s="10"/>
      <c r="AU1349" s="10"/>
      <c r="AV1349" s="10"/>
      <c r="AW1349" s="10"/>
      <c r="AX1349" s="10"/>
      <c r="AY1349" s="10"/>
      <c r="AZ1349" s="10"/>
      <c r="BA1349" s="10"/>
      <c r="BB1349" s="10"/>
      <c r="BC1349" s="10"/>
      <c r="BD1349" s="10"/>
      <c r="BE1349" s="10"/>
      <c r="BF1349" s="10"/>
      <c r="BG1349" s="10"/>
      <c r="BH1349" s="10"/>
      <c r="BI1349" s="10"/>
      <c r="BJ1349" s="10"/>
      <c r="BK1349" s="10"/>
      <c r="BL1349" s="10"/>
    </row>
    <row r="1350" spans="5:64" s="8" customFormat="1" x14ac:dyDescent="0.2">
      <c r="E1350" s="85"/>
      <c r="AR1350" s="10"/>
      <c r="AS1350" s="10"/>
      <c r="AT1350" s="10"/>
      <c r="AU1350" s="10"/>
      <c r="AV1350" s="10"/>
      <c r="AW1350" s="10"/>
      <c r="AX1350" s="10"/>
      <c r="AY1350" s="10"/>
      <c r="AZ1350" s="10"/>
      <c r="BA1350" s="10"/>
      <c r="BB1350" s="10"/>
      <c r="BC1350" s="10"/>
      <c r="BD1350" s="10"/>
      <c r="BE1350" s="10"/>
      <c r="BF1350" s="10"/>
      <c r="BG1350" s="10"/>
      <c r="BH1350" s="10"/>
      <c r="BI1350" s="10"/>
      <c r="BJ1350" s="10"/>
      <c r="BK1350" s="10"/>
      <c r="BL1350" s="10"/>
    </row>
    <row r="1351" spans="5:64" s="8" customFormat="1" x14ac:dyDescent="0.2">
      <c r="E1351" s="85"/>
      <c r="AR1351" s="10"/>
      <c r="AS1351" s="10"/>
      <c r="AT1351" s="10"/>
      <c r="AU1351" s="10"/>
      <c r="AV1351" s="10"/>
      <c r="AW1351" s="10"/>
      <c r="AX1351" s="10"/>
      <c r="AY1351" s="10"/>
      <c r="AZ1351" s="10"/>
      <c r="BA1351" s="10"/>
      <c r="BB1351" s="10"/>
      <c r="BC1351" s="10"/>
      <c r="BD1351" s="10"/>
      <c r="BE1351" s="10"/>
      <c r="BF1351" s="10"/>
      <c r="BG1351" s="10"/>
      <c r="BH1351" s="10"/>
      <c r="BI1351" s="10"/>
      <c r="BJ1351" s="10"/>
      <c r="BK1351" s="10"/>
      <c r="BL1351" s="10"/>
    </row>
    <row r="1352" spans="5:64" s="8" customFormat="1" x14ac:dyDescent="0.2">
      <c r="E1352" s="85"/>
      <c r="AR1352" s="10"/>
      <c r="AS1352" s="10"/>
      <c r="AT1352" s="10"/>
      <c r="AU1352" s="10"/>
      <c r="AV1352" s="10"/>
      <c r="AW1352" s="10"/>
      <c r="AX1352" s="10"/>
      <c r="AY1352" s="10"/>
      <c r="AZ1352" s="10"/>
      <c r="BA1352" s="10"/>
      <c r="BB1352" s="10"/>
      <c r="BC1352" s="10"/>
      <c r="BD1352" s="10"/>
      <c r="BE1352" s="10"/>
      <c r="BF1352" s="10"/>
      <c r="BG1352" s="10"/>
      <c r="BH1352" s="10"/>
      <c r="BI1352" s="10"/>
      <c r="BJ1352" s="10"/>
      <c r="BK1352" s="10"/>
      <c r="BL1352" s="10"/>
    </row>
    <row r="1353" spans="5:64" s="8" customFormat="1" x14ac:dyDescent="0.2">
      <c r="E1353" s="85"/>
      <c r="AR1353" s="10"/>
      <c r="AS1353" s="10"/>
      <c r="AT1353" s="10"/>
      <c r="AU1353" s="10"/>
      <c r="AV1353" s="10"/>
      <c r="AW1353" s="10"/>
      <c r="AX1353" s="10"/>
      <c r="AY1353" s="10"/>
      <c r="AZ1353" s="10"/>
      <c r="BA1353" s="10"/>
      <c r="BB1353" s="10"/>
      <c r="BC1353" s="10"/>
      <c r="BD1353" s="10"/>
      <c r="BE1353" s="10"/>
      <c r="BF1353" s="10"/>
      <c r="BG1353" s="10"/>
      <c r="BH1353" s="10"/>
      <c r="BI1353" s="10"/>
      <c r="BJ1353" s="10"/>
      <c r="BK1353" s="10"/>
      <c r="BL1353" s="10"/>
    </row>
    <row r="1354" spans="5:64" s="8" customFormat="1" x14ac:dyDescent="0.2">
      <c r="E1354" s="85"/>
      <c r="AR1354" s="10"/>
      <c r="AS1354" s="10"/>
      <c r="AT1354" s="10"/>
      <c r="AU1354" s="10"/>
      <c r="AV1354" s="10"/>
      <c r="AW1354" s="10"/>
      <c r="AX1354" s="10"/>
      <c r="AY1354" s="10"/>
      <c r="AZ1354" s="10"/>
      <c r="BA1354" s="10"/>
      <c r="BB1354" s="10"/>
      <c r="BC1354" s="10"/>
      <c r="BD1354" s="10"/>
      <c r="BE1354" s="10"/>
      <c r="BF1354" s="10"/>
      <c r="BG1354" s="10"/>
      <c r="BH1354" s="10"/>
      <c r="BI1354" s="10"/>
      <c r="BJ1354" s="10"/>
      <c r="BK1354" s="10"/>
      <c r="BL1354" s="10"/>
    </row>
    <row r="1355" spans="5:64" s="8" customFormat="1" x14ac:dyDescent="0.2">
      <c r="E1355" s="85"/>
      <c r="AR1355" s="10"/>
      <c r="AS1355" s="10"/>
      <c r="AT1355" s="10"/>
      <c r="AU1355" s="10"/>
      <c r="AV1355" s="10"/>
      <c r="AW1355" s="10"/>
      <c r="AX1355" s="10"/>
      <c r="AY1355" s="10"/>
      <c r="AZ1355" s="10"/>
      <c r="BA1355" s="10"/>
      <c r="BB1355" s="10"/>
      <c r="BC1355" s="10"/>
      <c r="BD1355" s="10"/>
      <c r="BE1355" s="10"/>
      <c r="BF1355" s="10"/>
      <c r="BG1355" s="10"/>
      <c r="BH1355" s="10"/>
      <c r="BI1355" s="10"/>
      <c r="BJ1355" s="10"/>
      <c r="BK1355" s="10"/>
      <c r="BL1355" s="10"/>
    </row>
    <row r="1356" spans="5:64" s="8" customFormat="1" x14ac:dyDescent="0.2">
      <c r="E1356" s="85"/>
      <c r="AR1356" s="10"/>
      <c r="AS1356" s="10"/>
      <c r="AT1356" s="10"/>
      <c r="AU1356" s="10"/>
      <c r="AV1356" s="10"/>
      <c r="AW1356" s="10"/>
      <c r="AX1356" s="10"/>
      <c r="AY1356" s="10"/>
      <c r="AZ1356" s="10"/>
      <c r="BA1356" s="10"/>
      <c r="BB1356" s="10"/>
      <c r="BC1356" s="10"/>
      <c r="BD1356" s="10"/>
      <c r="BE1356" s="10"/>
      <c r="BF1356" s="10"/>
      <c r="BG1356" s="10"/>
      <c r="BH1356" s="10"/>
      <c r="BI1356" s="10"/>
      <c r="BJ1356" s="10"/>
      <c r="BK1356" s="10"/>
      <c r="BL1356" s="10"/>
    </row>
    <row r="1357" spans="5:64" s="8" customFormat="1" x14ac:dyDescent="0.2">
      <c r="E1357" s="85"/>
      <c r="AR1357" s="10"/>
      <c r="AS1357" s="10"/>
      <c r="AT1357" s="10"/>
      <c r="AU1357" s="10"/>
      <c r="AV1357" s="10"/>
      <c r="AW1357" s="10"/>
      <c r="AX1357" s="10"/>
      <c r="AY1357" s="10"/>
      <c r="AZ1357" s="10"/>
      <c r="BA1357" s="10"/>
      <c r="BB1357" s="10"/>
      <c r="BC1357" s="10"/>
      <c r="BD1357" s="10"/>
      <c r="BE1357" s="10"/>
      <c r="BF1357" s="10"/>
      <c r="BG1357" s="10"/>
      <c r="BH1357" s="10"/>
      <c r="BI1357" s="10"/>
      <c r="BJ1357" s="10"/>
      <c r="BK1357" s="10"/>
      <c r="BL1357" s="10"/>
    </row>
    <row r="1358" spans="5:64" s="8" customFormat="1" x14ac:dyDescent="0.2">
      <c r="E1358" s="85"/>
      <c r="AR1358" s="10"/>
      <c r="AS1358" s="10"/>
      <c r="AT1358" s="10"/>
      <c r="AU1358" s="10"/>
      <c r="AV1358" s="10"/>
      <c r="AW1358" s="10"/>
      <c r="AX1358" s="10"/>
      <c r="AY1358" s="10"/>
      <c r="AZ1358" s="10"/>
      <c r="BA1358" s="10"/>
      <c r="BB1358" s="10"/>
      <c r="BC1358" s="10"/>
      <c r="BD1358" s="10"/>
      <c r="BE1358" s="10"/>
      <c r="BF1358" s="10"/>
      <c r="BG1358" s="10"/>
      <c r="BH1358" s="10"/>
      <c r="BI1358" s="10"/>
      <c r="BJ1358" s="10"/>
      <c r="BK1358" s="10"/>
      <c r="BL1358" s="10"/>
    </row>
    <row r="1359" spans="5:64" s="8" customFormat="1" x14ac:dyDescent="0.2">
      <c r="E1359" s="85"/>
      <c r="AR1359" s="10"/>
      <c r="AS1359" s="10"/>
      <c r="AT1359" s="10"/>
      <c r="AU1359" s="10"/>
      <c r="AV1359" s="10"/>
      <c r="AW1359" s="10"/>
      <c r="AX1359" s="10"/>
      <c r="AY1359" s="10"/>
      <c r="AZ1359" s="10"/>
      <c r="BA1359" s="10"/>
      <c r="BB1359" s="10"/>
      <c r="BC1359" s="10"/>
      <c r="BD1359" s="10"/>
      <c r="BE1359" s="10"/>
      <c r="BF1359" s="10"/>
      <c r="BG1359" s="10"/>
      <c r="BH1359" s="10"/>
      <c r="BI1359" s="10"/>
      <c r="BJ1359" s="10"/>
      <c r="BK1359" s="10"/>
      <c r="BL1359" s="10"/>
    </row>
    <row r="1360" spans="5:64" s="8" customFormat="1" x14ac:dyDescent="0.2">
      <c r="E1360" s="85"/>
      <c r="AR1360" s="10"/>
      <c r="AS1360" s="10"/>
      <c r="AT1360" s="10"/>
      <c r="AU1360" s="10"/>
      <c r="AV1360" s="10"/>
      <c r="AW1360" s="10"/>
      <c r="AX1360" s="10"/>
      <c r="AY1360" s="10"/>
      <c r="AZ1360" s="10"/>
      <c r="BA1360" s="10"/>
      <c r="BB1360" s="10"/>
      <c r="BC1360" s="10"/>
      <c r="BD1360" s="10"/>
      <c r="BE1360" s="10"/>
      <c r="BF1360" s="10"/>
      <c r="BG1360" s="10"/>
      <c r="BH1360" s="10"/>
      <c r="BI1360" s="10"/>
      <c r="BJ1360" s="10"/>
      <c r="BK1360" s="10"/>
      <c r="BL1360" s="10"/>
    </row>
    <row r="1361" spans="5:64" s="8" customFormat="1" x14ac:dyDescent="0.2">
      <c r="E1361" s="85"/>
      <c r="AR1361" s="10"/>
      <c r="AS1361" s="10"/>
      <c r="AT1361" s="10"/>
      <c r="AU1361" s="10"/>
      <c r="AV1361" s="10"/>
      <c r="AW1361" s="10"/>
      <c r="AX1361" s="10"/>
      <c r="AY1361" s="10"/>
      <c r="AZ1361" s="10"/>
      <c r="BA1361" s="10"/>
      <c r="BB1361" s="10"/>
      <c r="BC1361" s="10"/>
      <c r="BD1361" s="10"/>
      <c r="BE1361" s="10"/>
      <c r="BF1361" s="10"/>
      <c r="BG1361" s="10"/>
      <c r="BH1361" s="10"/>
      <c r="BI1361" s="10"/>
      <c r="BJ1361" s="10"/>
      <c r="BK1361" s="10"/>
      <c r="BL1361" s="10"/>
    </row>
    <row r="1362" spans="5:64" s="8" customFormat="1" x14ac:dyDescent="0.2">
      <c r="E1362" s="85"/>
      <c r="AR1362" s="10"/>
      <c r="AS1362" s="10"/>
      <c r="AT1362" s="10"/>
      <c r="AU1362" s="10"/>
      <c r="AV1362" s="10"/>
      <c r="AW1362" s="10"/>
      <c r="AX1362" s="10"/>
      <c r="AY1362" s="10"/>
      <c r="AZ1362" s="10"/>
      <c r="BA1362" s="10"/>
      <c r="BB1362" s="10"/>
      <c r="BC1362" s="10"/>
      <c r="BD1362" s="10"/>
      <c r="BE1362" s="10"/>
      <c r="BF1362" s="10"/>
      <c r="BG1362" s="10"/>
      <c r="BH1362" s="10"/>
      <c r="BI1362" s="10"/>
      <c r="BJ1362" s="10"/>
      <c r="BK1362" s="10"/>
      <c r="BL1362" s="10"/>
    </row>
    <row r="1363" spans="5:64" s="8" customFormat="1" x14ac:dyDescent="0.2">
      <c r="E1363" s="85"/>
      <c r="AR1363" s="10"/>
      <c r="AS1363" s="10"/>
      <c r="AT1363" s="10"/>
      <c r="AU1363" s="10"/>
      <c r="AV1363" s="10"/>
      <c r="AW1363" s="10"/>
      <c r="AX1363" s="10"/>
      <c r="AY1363" s="10"/>
      <c r="AZ1363" s="10"/>
      <c r="BA1363" s="10"/>
      <c r="BB1363" s="10"/>
      <c r="BC1363" s="10"/>
      <c r="BD1363" s="10"/>
      <c r="BE1363" s="10"/>
      <c r="BF1363" s="10"/>
      <c r="BG1363" s="10"/>
      <c r="BH1363" s="10"/>
      <c r="BI1363" s="10"/>
      <c r="BJ1363" s="10"/>
      <c r="BK1363" s="10"/>
      <c r="BL1363" s="10"/>
    </row>
    <row r="1364" spans="5:64" s="8" customFormat="1" x14ac:dyDescent="0.2">
      <c r="E1364" s="85"/>
      <c r="AR1364" s="10"/>
      <c r="AS1364" s="10"/>
      <c r="AT1364" s="10"/>
      <c r="AU1364" s="10"/>
      <c r="AV1364" s="10"/>
      <c r="AW1364" s="10"/>
      <c r="AX1364" s="10"/>
      <c r="AY1364" s="10"/>
      <c r="AZ1364" s="10"/>
      <c r="BA1364" s="10"/>
      <c r="BB1364" s="10"/>
      <c r="BC1364" s="10"/>
      <c r="BD1364" s="10"/>
      <c r="BE1364" s="10"/>
      <c r="BF1364" s="10"/>
      <c r="BG1364" s="10"/>
      <c r="BH1364" s="10"/>
      <c r="BI1364" s="10"/>
      <c r="BJ1364" s="10"/>
      <c r="BK1364" s="10"/>
      <c r="BL1364" s="10"/>
    </row>
    <row r="1365" spans="5:64" s="8" customFormat="1" x14ac:dyDescent="0.2">
      <c r="E1365" s="85"/>
      <c r="AR1365" s="10"/>
      <c r="AS1365" s="10"/>
      <c r="AT1365" s="10"/>
      <c r="AU1365" s="10"/>
      <c r="AV1365" s="10"/>
      <c r="AW1365" s="10"/>
      <c r="AX1365" s="10"/>
      <c r="AY1365" s="10"/>
      <c r="AZ1365" s="10"/>
      <c r="BA1365" s="10"/>
      <c r="BB1365" s="10"/>
      <c r="BC1365" s="10"/>
      <c r="BD1365" s="10"/>
      <c r="BE1365" s="10"/>
      <c r="BF1365" s="10"/>
      <c r="BG1365" s="10"/>
      <c r="BH1365" s="10"/>
      <c r="BI1365" s="10"/>
      <c r="BJ1365" s="10"/>
      <c r="BK1365" s="10"/>
      <c r="BL1365" s="10"/>
    </row>
    <row r="1366" spans="5:64" s="8" customFormat="1" x14ac:dyDescent="0.2">
      <c r="E1366" s="85"/>
      <c r="AR1366" s="10"/>
      <c r="AS1366" s="10"/>
      <c r="AT1366" s="10"/>
      <c r="AU1366" s="10"/>
      <c r="AV1366" s="10"/>
      <c r="AW1366" s="10"/>
      <c r="AX1366" s="10"/>
      <c r="AY1366" s="10"/>
      <c r="AZ1366" s="10"/>
      <c r="BA1366" s="10"/>
      <c r="BB1366" s="10"/>
      <c r="BC1366" s="10"/>
      <c r="BD1366" s="10"/>
      <c r="BE1366" s="10"/>
      <c r="BF1366" s="10"/>
      <c r="BG1366" s="10"/>
      <c r="BH1366" s="10"/>
      <c r="BI1366" s="10"/>
      <c r="BJ1366" s="10"/>
      <c r="BK1366" s="10"/>
      <c r="BL1366" s="10"/>
    </row>
    <row r="1367" spans="5:64" s="8" customFormat="1" x14ac:dyDescent="0.2">
      <c r="E1367" s="85"/>
      <c r="AR1367" s="10"/>
      <c r="AS1367" s="10"/>
      <c r="AT1367" s="10"/>
      <c r="AU1367" s="10"/>
      <c r="AV1367" s="10"/>
      <c r="AW1367" s="10"/>
      <c r="AX1367" s="10"/>
      <c r="AY1367" s="10"/>
      <c r="AZ1367" s="10"/>
      <c r="BA1367" s="10"/>
      <c r="BB1367" s="10"/>
      <c r="BC1367" s="10"/>
      <c r="BD1367" s="10"/>
      <c r="BE1367" s="10"/>
      <c r="BF1367" s="10"/>
      <c r="BG1367" s="10"/>
      <c r="BH1367" s="10"/>
      <c r="BI1367" s="10"/>
      <c r="BJ1367" s="10"/>
      <c r="BK1367" s="10"/>
      <c r="BL1367" s="10"/>
    </row>
    <row r="1368" spans="5:64" s="8" customFormat="1" x14ac:dyDescent="0.2">
      <c r="E1368" s="85"/>
      <c r="AR1368" s="10"/>
      <c r="AS1368" s="10"/>
      <c r="AT1368" s="10"/>
      <c r="AU1368" s="10"/>
      <c r="AV1368" s="10"/>
      <c r="AW1368" s="10"/>
      <c r="AX1368" s="10"/>
      <c r="AY1368" s="10"/>
      <c r="AZ1368" s="10"/>
      <c r="BA1368" s="10"/>
      <c r="BB1368" s="10"/>
      <c r="BC1368" s="10"/>
      <c r="BD1368" s="10"/>
      <c r="BE1368" s="10"/>
      <c r="BF1368" s="10"/>
      <c r="BG1368" s="10"/>
      <c r="BH1368" s="10"/>
      <c r="BI1368" s="10"/>
      <c r="BJ1368" s="10"/>
      <c r="BK1368" s="10"/>
      <c r="BL1368" s="10"/>
    </row>
    <row r="1369" spans="5:64" s="8" customFormat="1" x14ac:dyDescent="0.2">
      <c r="E1369" s="85"/>
      <c r="AR1369" s="10"/>
      <c r="AS1369" s="10"/>
      <c r="AT1369" s="10"/>
      <c r="AU1369" s="10"/>
      <c r="AV1369" s="10"/>
      <c r="AW1369" s="10"/>
      <c r="AX1369" s="10"/>
      <c r="AY1369" s="10"/>
      <c r="AZ1369" s="10"/>
      <c r="BA1369" s="10"/>
      <c r="BB1369" s="10"/>
      <c r="BC1369" s="10"/>
      <c r="BD1369" s="10"/>
      <c r="BE1369" s="10"/>
      <c r="BF1369" s="10"/>
      <c r="BG1369" s="10"/>
      <c r="BH1369" s="10"/>
      <c r="BI1369" s="10"/>
      <c r="BJ1369" s="10"/>
      <c r="BK1369" s="10"/>
      <c r="BL1369" s="10"/>
    </row>
    <row r="1370" spans="5:64" s="8" customFormat="1" x14ac:dyDescent="0.2">
      <c r="E1370" s="85"/>
      <c r="AR1370" s="10"/>
      <c r="AS1370" s="10"/>
      <c r="AT1370" s="10"/>
      <c r="AU1370" s="10"/>
      <c r="AV1370" s="10"/>
      <c r="AW1370" s="10"/>
      <c r="AX1370" s="10"/>
      <c r="AY1370" s="10"/>
      <c r="AZ1370" s="10"/>
      <c r="BA1370" s="10"/>
      <c r="BB1370" s="10"/>
      <c r="BC1370" s="10"/>
      <c r="BD1370" s="10"/>
      <c r="BE1370" s="10"/>
      <c r="BF1370" s="10"/>
      <c r="BG1370" s="10"/>
      <c r="BH1370" s="10"/>
      <c r="BI1370" s="10"/>
      <c r="BJ1370" s="10"/>
      <c r="BK1370" s="10"/>
      <c r="BL1370" s="10"/>
    </row>
    <row r="1371" spans="5:64" s="8" customFormat="1" x14ac:dyDescent="0.2">
      <c r="E1371" s="85"/>
      <c r="AR1371" s="10"/>
      <c r="AS1371" s="10"/>
      <c r="AT1371" s="10"/>
      <c r="AU1371" s="10"/>
      <c r="AV1371" s="10"/>
      <c r="AW1371" s="10"/>
      <c r="AX1371" s="10"/>
      <c r="AY1371" s="10"/>
      <c r="AZ1371" s="10"/>
      <c r="BA1371" s="10"/>
      <c r="BB1371" s="10"/>
      <c r="BC1371" s="10"/>
      <c r="BD1371" s="10"/>
      <c r="BE1371" s="10"/>
      <c r="BF1371" s="10"/>
      <c r="BG1371" s="10"/>
      <c r="BH1371" s="10"/>
      <c r="BI1371" s="10"/>
      <c r="BJ1371" s="10"/>
      <c r="BK1371" s="10"/>
      <c r="BL1371" s="10"/>
    </row>
    <row r="1372" spans="5:64" s="8" customFormat="1" x14ac:dyDescent="0.2">
      <c r="E1372" s="85"/>
      <c r="AR1372" s="10"/>
      <c r="AS1372" s="10"/>
      <c r="AT1372" s="10"/>
      <c r="AU1372" s="10"/>
      <c r="AV1372" s="10"/>
      <c r="AW1372" s="10"/>
      <c r="AX1372" s="10"/>
      <c r="AY1372" s="10"/>
      <c r="AZ1372" s="10"/>
      <c r="BA1372" s="10"/>
      <c r="BB1372" s="10"/>
      <c r="BC1372" s="10"/>
      <c r="BD1372" s="10"/>
      <c r="BE1372" s="10"/>
      <c r="BF1372" s="10"/>
      <c r="BG1372" s="10"/>
      <c r="BH1372" s="10"/>
      <c r="BI1372" s="10"/>
      <c r="BJ1372" s="10"/>
      <c r="BK1372" s="10"/>
      <c r="BL1372" s="10"/>
    </row>
    <row r="1373" spans="5:64" s="8" customFormat="1" x14ac:dyDescent="0.2">
      <c r="E1373" s="85"/>
      <c r="AR1373" s="10"/>
      <c r="AS1373" s="10"/>
      <c r="AT1373" s="10"/>
      <c r="AU1373" s="10"/>
      <c r="AV1373" s="10"/>
      <c r="AW1373" s="10"/>
      <c r="AX1373" s="10"/>
      <c r="AY1373" s="10"/>
      <c r="AZ1373" s="10"/>
      <c r="BA1373" s="10"/>
      <c r="BB1373" s="10"/>
      <c r="BC1373" s="10"/>
      <c r="BD1373" s="10"/>
      <c r="BE1373" s="10"/>
      <c r="BF1373" s="10"/>
      <c r="BG1373" s="10"/>
      <c r="BH1373" s="10"/>
      <c r="BI1373" s="10"/>
      <c r="BJ1373" s="10"/>
      <c r="BK1373" s="10"/>
      <c r="BL1373" s="10"/>
    </row>
    <row r="1374" spans="5:64" s="8" customFormat="1" x14ac:dyDescent="0.2">
      <c r="E1374" s="85"/>
      <c r="AR1374" s="10"/>
      <c r="AS1374" s="10"/>
      <c r="AT1374" s="10"/>
      <c r="AU1374" s="10"/>
      <c r="AV1374" s="10"/>
      <c r="AW1374" s="10"/>
      <c r="AX1374" s="10"/>
      <c r="AY1374" s="10"/>
      <c r="AZ1374" s="10"/>
      <c r="BA1374" s="10"/>
      <c r="BB1374" s="10"/>
      <c r="BC1374" s="10"/>
      <c r="BD1374" s="10"/>
      <c r="BE1374" s="10"/>
      <c r="BF1374" s="10"/>
      <c r="BG1374" s="10"/>
      <c r="BH1374" s="10"/>
      <c r="BI1374" s="10"/>
      <c r="BJ1374" s="10"/>
      <c r="BK1374" s="10"/>
      <c r="BL1374" s="10"/>
    </row>
    <row r="1375" spans="5:64" s="8" customFormat="1" x14ac:dyDescent="0.2">
      <c r="E1375" s="85"/>
      <c r="AR1375" s="10"/>
      <c r="AS1375" s="10"/>
      <c r="AT1375" s="10"/>
      <c r="AU1375" s="10"/>
      <c r="AV1375" s="10"/>
      <c r="AW1375" s="10"/>
      <c r="AX1375" s="10"/>
      <c r="AY1375" s="10"/>
      <c r="AZ1375" s="10"/>
      <c r="BA1375" s="10"/>
      <c r="BB1375" s="10"/>
      <c r="BC1375" s="10"/>
      <c r="BD1375" s="10"/>
      <c r="BE1375" s="10"/>
      <c r="BF1375" s="10"/>
      <c r="BG1375" s="10"/>
      <c r="BH1375" s="10"/>
      <c r="BI1375" s="10"/>
      <c r="BJ1375" s="10"/>
      <c r="BK1375" s="10"/>
      <c r="BL1375" s="10"/>
    </row>
    <row r="1376" spans="5:64" s="8" customFormat="1" x14ac:dyDescent="0.2">
      <c r="E1376" s="85"/>
      <c r="AR1376" s="10"/>
      <c r="AS1376" s="10"/>
      <c r="AT1376" s="10"/>
      <c r="AU1376" s="10"/>
      <c r="AV1376" s="10"/>
      <c r="AW1376" s="10"/>
      <c r="AX1376" s="10"/>
      <c r="AY1376" s="10"/>
      <c r="AZ1376" s="10"/>
      <c r="BA1376" s="10"/>
      <c r="BB1376" s="10"/>
      <c r="BC1376" s="10"/>
      <c r="BD1376" s="10"/>
      <c r="BE1376" s="10"/>
      <c r="BF1376" s="10"/>
      <c r="BG1376" s="10"/>
      <c r="BH1376" s="10"/>
      <c r="BI1376" s="10"/>
      <c r="BJ1376" s="10"/>
      <c r="BK1376" s="10"/>
      <c r="BL1376" s="10"/>
    </row>
    <row r="1377" spans="5:64" s="8" customFormat="1" x14ac:dyDescent="0.2">
      <c r="E1377" s="85"/>
      <c r="AR1377" s="10"/>
      <c r="AS1377" s="10"/>
      <c r="AT1377" s="10"/>
      <c r="AU1377" s="10"/>
      <c r="AV1377" s="10"/>
      <c r="AW1377" s="10"/>
      <c r="AX1377" s="10"/>
      <c r="AY1377" s="10"/>
      <c r="AZ1377" s="10"/>
      <c r="BA1377" s="10"/>
      <c r="BB1377" s="10"/>
      <c r="BC1377" s="10"/>
      <c r="BD1377" s="10"/>
      <c r="BE1377" s="10"/>
      <c r="BF1377" s="10"/>
      <c r="BG1377" s="10"/>
      <c r="BH1377" s="10"/>
      <c r="BI1377" s="10"/>
      <c r="BJ1377" s="10"/>
      <c r="BK1377" s="10"/>
      <c r="BL1377" s="10"/>
    </row>
    <row r="1378" spans="5:64" s="8" customFormat="1" x14ac:dyDescent="0.2">
      <c r="E1378" s="85"/>
      <c r="AR1378" s="10"/>
      <c r="AS1378" s="10"/>
      <c r="AT1378" s="10"/>
      <c r="AU1378" s="10"/>
      <c r="AV1378" s="10"/>
      <c r="AW1378" s="10"/>
      <c r="AX1378" s="10"/>
      <c r="AY1378" s="10"/>
      <c r="AZ1378" s="10"/>
      <c r="BA1378" s="10"/>
      <c r="BB1378" s="10"/>
      <c r="BC1378" s="10"/>
      <c r="BD1378" s="10"/>
      <c r="BE1378" s="10"/>
      <c r="BF1378" s="10"/>
      <c r="BG1378" s="10"/>
      <c r="BH1378" s="10"/>
      <c r="BI1378" s="10"/>
      <c r="BJ1378" s="10"/>
      <c r="BK1378" s="10"/>
      <c r="BL1378" s="10"/>
    </row>
    <row r="1379" spans="5:64" s="8" customFormat="1" x14ac:dyDescent="0.2">
      <c r="E1379" s="85"/>
      <c r="AR1379" s="10"/>
      <c r="AS1379" s="10"/>
      <c r="AT1379" s="10"/>
      <c r="AU1379" s="10"/>
      <c r="AV1379" s="10"/>
      <c r="AW1379" s="10"/>
      <c r="AX1379" s="10"/>
      <c r="AY1379" s="10"/>
      <c r="AZ1379" s="10"/>
      <c r="BA1379" s="10"/>
      <c r="BB1379" s="10"/>
      <c r="BC1379" s="10"/>
      <c r="BD1379" s="10"/>
      <c r="BE1379" s="10"/>
      <c r="BF1379" s="10"/>
      <c r="BG1379" s="10"/>
      <c r="BH1379" s="10"/>
      <c r="BI1379" s="10"/>
      <c r="BJ1379" s="10"/>
      <c r="BK1379" s="10"/>
      <c r="BL1379" s="10"/>
    </row>
    <row r="1380" spans="5:64" s="8" customFormat="1" x14ac:dyDescent="0.2">
      <c r="E1380" s="85"/>
      <c r="AR1380" s="10"/>
      <c r="AS1380" s="10"/>
      <c r="AT1380" s="10"/>
      <c r="AU1380" s="10"/>
      <c r="AV1380" s="10"/>
      <c r="AW1380" s="10"/>
      <c r="AX1380" s="10"/>
      <c r="AY1380" s="10"/>
      <c r="AZ1380" s="10"/>
      <c r="BA1380" s="10"/>
      <c r="BB1380" s="10"/>
      <c r="BC1380" s="10"/>
      <c r="BD1380" s="10"/>
      <c r="BE1380" s="10"/>
      <c r="BF1380" s="10"/>
      <c r="BG1380" s="10"/>
      <c r="BH1380" s="10"/>
      <c r="BI1380" s="10"/>
      <c r="BJ1380" s="10"/>
      <c r="BK1380" s="10"/>
      <c r="BL1380" s="10"/>
    </row>
    <row r="1381" spans="5:64" s="8" customFormat="1" x14ac:dyDescent="0.2">
      <c r="E1381" s="85"/>
      <c r="AR1381" s="10"/>
      <c r="AS1381" s="10"/>
      <c r="AT1381" s="10"/>
      <c r="AU1381" s="10"/>
      <c r="AV1381" s="10"/>
      <c r="AW1381" s="10"/>
      <c r="AX1381" s="10"/>
      <c r="AY1381" s="10"/>
      <c r="AZ1381" s="10"/>
      <c r="BA1381" s="10"/>
      <c r="BB1381" s="10"/>
      <c r="BC1381" s="10"/>
      <c r="BD1381" s="10"/>
      <c r="BE1381" s="10"/>
      <c r="BF1381" s="10"/>
      <c r="BG1381" s="10"/>
      <c r="BH1381" s="10"/>
      <c r="BI1381" s="10"/>
      <c r="BJ1381" s="10"/>
      <c r="BK1381" s="10"/>
      <c r="BL1381" s="10"/>
    </row>
    <row r="1382" spans="5:64" s="8" customFormat="1" x14ac:dyDescent="0.2">
      <c r="E1382" s="85"/>
      <c r="AR1382" s="10"/>
      <c r="AS1382" s="10"/>
      <c r="AT1382" s="10"/>
      <c r="AU1382" s="10"/>
      <c r="AV1382" s="10"/>
      <c r="AW1382" s="10"/>
      <c r="AX1382" s="10"/>
      <c r="AY1382" s="10"/>
      <c r="AZ1382" s="10"/>
      <c r="BA1382" s="10"/>
      <c r="BB1382" s="10"/>
      <c r="BC1382" s="10"/>
      <c r="BD1382" s="10"/>
      <c r="BE1382" s="10"/>
      <c r="BF1382" s="10"/>
      <c r="BG1382" s="10"/>
      <c r="BH1382" s="10"/>
      <c r="BI1382" s="10"/>
      <c r="BJ1382" s="10"/>
      <c r="BK1382" s="10"/>
      <c r="BL1382" s="10"/>
    </row>
    <row r="1383" spans="5:64" s="8" customFormat="1" x14ac:dyDescent="0.2">
      <c r="E1383" s="85"/>
      <c r="AR1383" s="10"/>
      <c r="AS1383" s="10"/>
      <c r="AT1383" s="10"/>
      <c r="AU1383" s="10"/>
      <c r="AV1383" s="10"/>
      <c r="AW1383" s="10"/>
      <c r="AX1383" s="10"/>
      <c r="AY1383" s="10"/>
      <c r="AZ1383" s="10"/>
      <c r="BA1383" s="10"/>
      <c r="BB1383" s="10"/>
      <c r="BC1383" s="10"/>
      <c r="BD1383" s="10"/>
      <c r="BE1383" s="10"/>
      <c r="BF1383" s="10"/>
      <c r="BG1383" s="10"/>
      <c r="BH1383" s="10"/>
      <c r="BI1383" s="10"/>
      <c r="BJ1383" s="10"/>
      <c r="BK1383" s="10"/>
      <c r="BL1383" s="10"/>
    </row>
    <row r="1384" spans="5:64" s="8" customFormat="1" x14ac:dyDescent="0.2">
      <c r="E1384" s="85"/>
      <c r="AR1384" s="10"/>
      <c r="AS1384" s="10"/>
      <c r="AT1384" s="10"/>
      <c r="AU1384" s="10"/>
      <c r="AV1384" s="10"/>
      <c r="AW1384" s="10"/>
      <c r="AX1384" s="10"/>
      <c r="AY1384" s="10"/>
      <c r="AZ1384" s="10"/>
      <c r="BA1384" s="10"/>
      <c r="BB1384" s="10"/>
      <c r="BC1384" s="10"/>
      <c r="BD1384" s="10"/>
      <c r="BE1384" s="10"/>
      <c r="BF1384" s="10"/>
      <c r="BG1384" s="10"/>
      <c r="BH1384" s="10"/>
      <c r="BI1384" s="10"/>
      <c r="BJ1384" s="10"/>
      <c r="BK1384" s="10"/>
      <c r="BL1384" s="10"/>
    </row>
    <row r="1385" spans="5:64" s="8" customFormat="1" x14ac:dyDescent="0.2">
      <c r="E1385" s="85"/>
      <c r="AR1385" s="10"/>
      <c r="AS1385" s="10"/>
      <c r="AT1385" s="10"/>
      <c r="AU1385" s="10"/>
      <c r="AV1385" s="10"/>
      <c r="AW1385" s="10"/>
      <c r="AX1385" s="10"/>
      <c r="AY1385" s="10"/>
      <c r="AZ1385" s="10"/>
      <c r="BA1385" s="10"/>
      <c r="BB1385" s="10"/>
      <c r="BC1385" s="10"/>
      <c r="BD1385" s="10"/>
      <c r="BE1385" s="10"/>
      <c r="BF1385" s="10"/>
      <c r="BG1385" s="10"/>
      <c r="BH1385" s="10"/>
      <c r="BI1385" s="10"/>
      <c r="BJ1385" s="10"/>
      <c r="BK1385" s="10"/>
      <c r="BL1385" s="10"/>
    </row>
    <row r="1386" spans="5:64" s="8" customFormat="1" x14ac:dyDescent="0.2">
      <c r="E1386" s="85"/>
      <c r="AR1386" s="10"/>
      <c r="AS1386" s="10"/>
      <c r="AT1386" s="10"/>
      <c r="AU1386" s="10"/>
      <c r="AV1386" s="10"/>
      <c r="AW1386" s="10"/>
      <c r="AX1386" s="10"/>
      <c r="AY1386" s="10"/>
      <c r="AZ1386" s="10"/>
      <c r="BA1386" s="10"/>
      <c r="BB1386" s="10"/>
      <c r="BC1386" s="10"/>
      <c r="BD1386" s="10"/>
      <c r="BE1386" s="10"/>
      <c r="BF1386" s="10"/>
      <c r="BG1386" s="10"/>
      <c r="BH1386" s="10"/>
      <c r="BI1386" s="10"/>
      <c r="BJ1386" s="10"/>
      <c r="BK1386" s="10"/>
      <c r="BL1386" s="10"/>
    </row>
    <row r="1387" spans="5:64" s="8" customFormat="1" x14ac:dyDescent="0.2">
      <c r="E1387" s="85"/>
      <c r="AR1387" s="10"/>
      <c r="AS1387" s="10"/>
      <c r="AT1387" s="10"/>
      <c r="AU1387" s="10"/>
      <c r="AV1387" s="10"/>
      <c r="AW1387" s="10"/>
      <c r="AX1387" s="10"/>
      <c r="AY1387" s="10"/>
      <c r="AZ1387" s="10"/>
      <c r="BA1387" s="10"/>
      <c r="BB1387" s="10"/>
      <c r="BC1387" s="10"/>
      <c r="BD1387" s="10"/>
      <c r="BE1387" s="10"/>
      <c r="BF1387" s="10"/>
      <c r="BG1387" s="10"/>
      <c r="BH1387" s="10"/>
      <c r="BI1387" s="10"/>
      <c r="BJ1387" s="10"/>
      <c r="BK1387" s="10"/>
      <c r="BL1387" s="10"/>
    </row>
    <row r="1388" spans="5:64" s="8" customFormat="1" x14ac:dyDescent="0.2">
      <c r="E1388" s="85"/>
      <c r="AR1388" s="10"/>
      <c r="AS1388" s="10"/>
      <c r="AT1388" s="10"/>
      <c r="AU1388" s="10"/>
      <c r="AV1388" s="10"/>
      <c r="AW1388" s="10"/>
      <c r="AX1388" s="10"/>
      <c r="AY1388" s="10"/>
      <c r="AZ1388" s="10"/>
      <c r="BA1388" s="10"/>
      <c r="BB1388" s="10"/>
      <c r="BC1388" s="10"/>
      <c r="BD1388" s="10"/>
      <c r="BE1388" s="10"/>
      <c r="BF1388" s="10"/>
      <c r="BG1388" s="10"/>
      <c r="BH1388" s="10"/>
      <c r="BI1388" s="10"/>
      <c r="BJ1388" s="10"/>
      <c r="BK1388" s="10"/>
      <c r="BL1388" s="10"/>
    </row>
    <row r="1389" spans="5:64" s="8" customFormat="1" x14ac:dyDescent="0.2">
      <c r="E1389" s="85"/>
      <c r="AR1389" s="10"/>
      <c r="AS1389" s="10"/>
      <c r="AT1389" s="10"/>
      <c r="AU1389" s="10"/>
      <c r="AV1389" s="10"/>
      <c r="AW1389" s="10"/>
      <c r="AX1389" s="10"/>
      <c r="AY1389" s="10"/>
      <c r="AZ1389" s="10"/>
      <c r="BA1389" s="10"/>
      <c r="BB1389" s="10"/>
      <c r="BC1389" s="10"/>
      <c r="BD1389" s="10"/>
      <c r="BE1389" s="10"/>
      <c r="BF1389" s="10"/>
      <c r="BG1389" s="10"/>
      <c r="BH1389" s="10"/>
      <c r="BI1389" s="10"/>
      <c r="BJ1389" s="10"/>
      <c r="BK1389" s="10"/>
      <c r="BL1389" s="10"/>
    </row>
    <row r="1390" spans="5:64" s="8" customFormat="1" x14ac:dyDescent="0.2">
      <c r="E1390" s="85"/>
      <c r="AR1390" s="10"/>
      <c r="AS1390" s="10"/>
      <c r="AT1390" s="10"/>
      <c r="AU1390" s="10"/>
      <c r="AV1390" s="10"/>
      <c r="AW1390" s="10"/>
      <c r="AX1390" s="10"/>
      <c r="AY1390" s="10"/>
      <c r="AZ1390" s="10"/>
      <c r="BA1390" s="10"/>
      <c r="BB1390" s="10"/>
      <c r="BC1390" s="10"/>
      <c r="BD1390" s="10"/>
      <c r="BE1390" s="10"/>
      <c r="BF1390" s="10"/>
      <c r="BG1390" s="10"/>
      <c r="BH1390" s="10"/>
      <c r="BI1390" s="10"/>
      <c r="BJ1390" s="10"/>
      <c r="BK1390" s="10"/>
      <c r="BL1390" s="10"/>
    </row>
    <row r="1391" spans="5:64" s="8" customFormat="1" x14ac:dyDescent="0.2">
      <c r="E1391" s="85"/>
      <c r="AR1391" s="10"/>
      <c r="AS1391" s="10"/>
      <c r="AT1391" s="10"/>
      <c r="AU1391" s="10"/>
      <c r="AV1391" s="10"/>
      <c r="AW1391" s="10"/>
      <c r="AX1391" s="10"/>
      <c r="AY1391" s="10"/>
      <c r="AZ1391" s="10"/>
      <c r="BA1391" s="10"/>
      <c r="BB1391" s="10"/>
      <c r="BC1391" s="10"/>
      <c r="BD1391" s="10"/>
      <c r="BE1391" s="10"/>
      <c r="BF1391" s="10"/>
      <c r="BG1391" s="10"/>
      <c r="BH1391" s="10"/>
      <c r="BI1391" s="10"/>
      <c r="BJ1391" s="10"/>
      <c r="BK1391" s="10"/>
      <c r="BL1391" s="10"/>
    </row>
    <row r="1392" spans="5:64" s="8" customFormat="1" x14ac:dyDescent="0.2">
      <c r="E1392" s="85"/>
      <c r="AR1392" s="10"/>
      <c r="AS1392" s="10"/>
      <c r="AT1392" s="10"/>
      <c r="AU1392" s="10"/>
      <c r="AV1392" s="10"/>
      <c r="AW1392" s="10"/>
      <c r="AX1392" s="10"/>
      <c r="AY1392" s="10"/>
      <c r="AZ1392" s="10"/>
      <c r="BA1392" s="10"/>
      <c r="BB1392" s="10"/>
      <c r="BC1392" s="10"/>
      <c r="BD1392" s="10"/>
      <c r="BE1392" s="10"/>
      <c r="BF1392" s="10"/>
      <c r="BG1392" s="10"/>
      <c r="BH1392" s="10"/>
      <c r="BI1392" s="10"/>
      <c r="BJ1392" s="10"/>
      <c r="BK1392" s="10"/>
      <c r="BL1392" s="10"/>
    </row>
    <row r="1393" spans="5:64" s="8" customFormat="1" x14ac:dyDescent="0.2">
      <c r="E1393" s="85"/>
      <c r="AR1393" s="10"/>
      <c r="AS1393" s="10"/>
      <c r="AT1393" s="10"/>
      <c r="AU1393" s="10"/>
      <c r="AV1393" s="10"/>
      <c r="AW1393" s="10"/>
      <c r="AX1393" s="10"/>
      <c r="AY1393" s="10"/>
      <c r="AZ1393" s="10"/>
      <c r="BA1393" s="10"/>
      <c r="BB1393" s="10"/>
      <c r="BC1393" s="10"/>
      <c r="BD1393" s="10"/>
      <c r="BE1393" s="10"/>
      <c r="BF1393" s="10"/>
      <c r="BG1393" s="10"/>
      <c r="BH1393" s="10"/>
      <c r="BI1393" s="10"/>
      <c r="BJ1393" s="10"/>
      <c r="BK1393" s="10"/>
      <c r="BL1393" s="10"/>
    </row>
    <row r="1394" spans="5:64" s="8" customFormat="1" x14ac:dyDescent="0.2">
      <c r="E1394" s="85"/>
      <c r="AR1394" s="10"/>
      <c r="AS1394" s="10"/>
      <c r="AT1394" s="10"/>
      <c r="AU1394" s="10"/>
      <c r="AV1394" s="10"/>
      <c r="AW1394" s="10"/>
      <c r="AX1394" s="10"/>
      <c r="AY1394" s="10"/>
      <c r="AZ1394" s="10"/>
      <c r="BA1394" s="10"/>
      <c r="BB1394" s="10"/>
      <c r="BC1394" s="10"/>
      <c r="BD1394" s="10"/>
      <c r="BE1394" s="10"/>
      <c r="BF1394" s="10"/>
      <c r="BG1394" s="10"/>
      <c r="BH1394" s="10"/>
      <c r="BI1394" s="10"/>
      <c r="BJ1394" s="10"/>
      <c r="BK1394" s="10"/>
      <c r="BL1394" s="10"/>
    </row>
    <row r="1395" spans="5:64" s="8" customFormat="1" x14ac:dyDescent="0.2">
      <c r="E1395" s="85"/>
      <c r="AR1395" s="10"/>
      <c r="AS1395" s="10"/>
      <c r="AT1395" s="10"/>
      <c r="AU1395" s="10"/>
      <c r="AV1395" s="10"/>
      <c r="AW1395" s="10"/>
      <c r="AX1395" s="10"/>
      <c r="AY1395" s="10"/>
      <c r="AZ1395" s="10"/>
      <c r="BA1395" s="10"/>
      <c r="BB1395" s="10"/>
      <c r="BC1395" s="10"/>
      <c r="BD1395" s="10"/>
      <c r="BE1395" s="10"/>
      <c r="BF1395" s="10"/>
      <c r="BG1395" s="10"/>
      <c r="BH1395" s="10"/>
      <c r="BI1395" s="10"/>
      <c r="BJ1395" s="10"/>
      <c r="BK1395" s="10"/>
      <c r="BL1395" s="10"/>
    </row>
    <row r="1396" spans="5:64" s="8" customFormat="1" x14ac:dyDescent="0.2">
      <c r="E1396" s="85"/>
      <c r="AR1396" s="10"/>
      <c r="AS1396" s="10"/>
      <c r="AT1396" s="10"/>
      <c r="AU1396" s="10"/>
      <c r="AV1396" s="10"/>
      <c r="AW1396" s="10"/>
      <c r="AX1396" s="10"/>
      <c r="AY1396" s="10"/>
      <c r="AZ1396" s="10"/>
      <c r="BA1396" s="10"/>
      <c r="BB1396" s="10"/>
      <c r="BC1396" s="10"/>
      <c r="BD1396" s="10"/>
      <c r="BE1396" s="10"/>
      <c r="BF1396" s="10"/>
      <c r="BG1396" s="10"/>
      <c r="BH1396" s="10"/>
      <c r="BI1396" s="10"/>
      <c r="BJ1396" s="10"/>
      <c r="BK1396" s="10"/>
      <c r="BL1396" s="10"/>
    </row>
    <row r="1397" spans="5:64" s="8" customFormat="1" x14ac:dyDescent="0.2">
      <c r="E1397" s="85"/>
      <c r="AR1397" s="10"/>
      <c r="AS1397" s="10"/>
      <c r="AT1397" s="10"/>
      <c r="AU1397" s="10"/>
      <c r="AV1397" s="10"/>
      <c r="AW1397" s="10"/>
      <c r="AX1397" s="10"/>
      <c r="AY1397" s="10"/>
      <c r="AZ1397" s="10"/>
      <c r="BA1397" s="10"/>
      <c r="BB1397" s="10"/>
      <c r="BC1397" s="10"/>
      <c r="BD1397" s="10"/>
      <c r="BE1397" s="10"/>
      <c r="BF1397" s="10"/>
      <c r="BG1397" s="10"/>
      <c r="BH1397" s="10"/>
      <c r="BI1397" s="10"/>
      <c r="BJ1397" s="10"/>
      <c r="BK1397" s="10"/>
      <c r="BL1397" s="10"/>
    </row>
    <row r="1398" spans="5:64" s="8" customFormat="1" x14ac:dyDescent="0.2">
      <c r="E1398" s="85"/>
      <c r="AR1398" s="10"/>
      <c r="AS1398" s="10"/>
      <c r="AT1398" s="10"/>
      <c r="AU1398" s="10"/>
      <c r="AV1398" s="10"/>
      <c r="AW1398" s="10"/>
      <c r="AX1398" s="10"/>
      <c r="AY1398" s="10"/>
      <c r="AZ1398" s="10"/>
      <c r="BA1398" s="10"/>
      <c r="BB1398" s="10"/>
      <c r="BC1398" s="10"/>
      <c r="BD1398" s="10"/>
      <c r="BE1398" s="10"/>
      <c r="BF1398" s="10"/>
      <c r="BG1398" s="10"/>
      <c r="BH1398" s="10"/>
      <c r="BI1398" s="10"/>
      <c r="BJ1398" s="10"/>
      <c r="BK1398" s="10"/>
      <c r="BL1398" s="10"/>
    </row>
    <row r="1399" spans="5:64" s="8" customFormat="1" x14ac:dyDescent="0.2">
      <c r="E1399" s="85"/>
      <c r="AR1399" s="10"/>
      <c r="AS1399" s="10"/>
      <c r="AT1399" s="10"/>
      <c r="AU1399" s="10"/>
      <c r="AV1399" s="10"/>
      <c r="AW1399" s="10"/>
      <c r="AX1399" s="10"/>
      <c r="AY1399" s="10"/>
      <c r="AZ1399" s="10"/>
      <c r="BA1399" s="10"/>
      <c r="BB1399" s="10"/>
      <c r="BC1399" s="10"/>
      <c r="BD1399" s="10"/>
      <c r="BE1399" s="10"/>
      <c r="BF1399" s="10"/>
      <c r="BG1399" s="10"/>
      <c r="BH1399" s="10"/>
      <c r="BI1399" s="10"/>
      <c r="BJ1399" s="10"/>
      <c r="BK1399" s="10"/>
      <c r="BL1399" s="10"/>
    </row>
    <row r="1400" spans="5:64" s="8" customFormat="1" x14ac:dyDescent="0.2">
      <c r="E1400" s="85"/>
      <c r="AR1400" s="10"/>
      <c r="AS1400" s="10"/>
      <c r="AT1400" s="10"/>
      <c r="AU1400" s="10"/>
      <c r="AV1400" s="10"/>
      <c r="AW1400" s="10"/>
      <c r="AX1400" s="10"/>
      <c r="AY1400" s="10"/>
      <c r="AZ1400" s="10"/>
      <c r="BA1400" s="10"/>
      <c r="BB1400" s="10"/>
      <c r="BC1400" s="10"/>
      <c r="BD1400" s="10"/>
      <c r="BE1400" s="10"/>
      <c r="BF1400" s="10"/>
      <c r="BG1400" s="10"/>
      <c r="BH1400" s="10"/>
      <c r="BI1400" s="10"/>
      <c r="BJ1400" s="10"/>
      <c r="BK1400" s="10"/>
      <c r="BL1400" s="10"/>
    </row>
    <row r="1401" spans="5:64" s="8" customFormat="1" x14ac:dyDescent="0.2">
      <c r="E1401" s="85"/>
      <c r="AR1401" s="10"/>
      <c r="AS1401" s="10"/>
      <c r="AT1401" s="10"/>
      <c r="AU1401" s="10"/>
      <c r="AV1401" s="10"/>
      <c r="AW1401" s="10"/>
      <c r="AX1401" s="10"/>
      <c r="AY1401" s="10"/>
      <c r="AZ1401" s="10"/>
      <c r="BA1401" s="10"/>
      <c r="BB1401" s="10"/>
      <c r="BC1401" s="10"/>
      <c r="BD1401" s="10"/>
      <c r="BE1401" s="10"/>
      <c r="BF1401" s="10"/>
      <c r="BG1401" s="10"/>
      <c r="BH1401" s="10"/>
      <c r="BI1401" s="10"/>
      <c r="BJ1401" s="10"/>
      <c r="BK1401" s="10"/>
      <c r="BL1401" s="10"/>
    </row>
    <row r="1402" spans="5:64" s="8" customFormat="1" x14ac:dyDescent="0.2">
      <c r="E1402" s="85"/>
      <c r="AR1402" s="10"/>
      <c r="AS1402" s="10"/>
      <c r="AT1402" s="10"/>
      <c r="AU1402" s="10"/>
      <c r="AV1402" s="10"/>
      <c r="AW1402" s="10"/>
      <c r="AX1402" s="10"/>
      <c r="AY1402" s="10"/>
      <c r="AZ1402" s="10"/>
      <c r="BA1402" s="10"/>
      <c r="BB1402" s="10"/>
      <c r="BC1402" s="10"/>
      <c r="BD1402" s="10"/>
      <c r="BE1402" s="10"/>
      <c r="BF1402" s="10"/>
      <c r="BG1402" s="10"/>
      <c r="BH1402" s="10"/>
      <c r="BI1402" s="10"/>
      <c r="BJ1402" s="10"/>
      <c r="BK1402" s="10"/>
      <c r="BL1402" s="10"/>
    </row>
    <row r="1403" spans="5:64" s="8" customFormat="1" x14ac:dyDescent="0.2">
      <c r="E1403" s="85"/>
      <c r="AR1403" s="10"/>
      <c r="AS1403" s="10"/>
      <c r="AT1403" s="10"/>
      <c r="AU1403" s="10"/>
      <c r="AV1403" s="10"/>
      <c r="AW1403" s="10"/>
      <c r="AX1403" s="10"/>
      <c r="AY1403" s="10"/>
      <c r="AZ1403" s="10"/>
      <c r="BA1403" s="10"/>
      <c r="BB1403" s="10"/>
      <c r="BC1403" s="10"/>
      <c r="BD1403" s="10"/>
      <c r="BE1403" s="10"/>
      <c r="BF1403" s="10"/>
      <c r="BG1403" s="10"/>
      <c r="BH1403" s="10"/>
      <c r="BI1403" s="10"/>
      <c r="BJ1403" s="10"/>
      <c r="BK1403" s="10"/>
      <c r="BL1403" s="10"/>
    </row>
    <row r="1404" spans="5:64" s="8" customFormat="1" x14ac:dyDescent="0.2">
      <c r="E1404" s="85"/>
      <c r="AR1404" s="10"/>
      <c r="AS1404" s="10"/>
      <c r="AT1404" s="10"/>
      <c r="AU1404" s="10"/>
      <c r="AV1404" s="10"/>
      <c r="AW1404" s="10"/>
      <c r="AX1404" s="10"/>
      <c r="AY1404" s="10"/>
      <c r="AZ1404" s="10"/>
      <c r="BA1404" s="10"/>
      <c r="BB1404" s="10"/>
      <c r="BC1404" s="10"/>
      <c r="BD1404" s="10"/>
      <c r="BE1404" s="10"/>
      <c r="BF1404" s="10"/>
      <c r="BG1404" s="10"/>
      <c r="BH1404" s="10"/>
      <c r="BI1404" s="10"/>
      <c r="BJ1404" s="10"/>
      <c r="BK1404" s="10"/>
      <c r="BL1404" s="10"/>
    </row>
    <row r="1405" spans="5:64" s="8" customFormat="1" x14ac:dyDescent="0.2">
      <c r="E1405" s="85"/>
      <c r="AR1405" s="10"/>
      <c r="AS1405" s="10"/>
      <c r="AT1405" s="10"/>
      <c r="AU1405" s="10"/>
      <c r="AV1405" s="10"/>
      <c r="AW1405" s="10"/>
      <c r="AX1405" s="10"/>
      <c r="AY1405" s="10"/>
      <c r="AZ1405" s="10"/>
      <c r="BA1405" s="10"/>
      <c r="BB1405" s="10"/>
      <c r="BC1405" s="10"/>
      <c r="BD1405" s="10"/>
      <c r="BE1405" s="10"/>
      <c r="BF1405" s="10"/>
      <c r="BG1405" s="10"/>
      <c r="BH1405" s="10"/>
      <c r="BI1405" s="10"/>
      <c r="BJ1405" s="10"/>
      <c r="BK1405" s="10"/>
      <c r="BL1405" s="10"/>
    </row>
    <row r="1406" spans="5:64" s="8" customFormat="1" x14ac:dyDescent="0.2">
      <c r="E1406" s="85"/>
      <c r="AR1406" s="10"/>
      <c r="AS1406" s="10"/>
      <c r="AT1406" s="10"/>
      <c r="AU1406" s="10"/>
      <c r="AV1406" s="10"/>
      <c r="AW1406" s="10"/>
      <c r="AX1406" s="10"/>
      <c r="AY1406" s="10"/>
      <c r="AZ1406" s="10"/>
      <c r="BA1406" s="10"/>
      <c r="BB1406" s="10"/>
      <c r="BC1406" s="10"/>
      <c r="BD1406" s="10"/>
      <c r="BE1406" s="10"/>
      <c r="BF1406" s="10"/>
      <c r="BG1406" s="10"/>
      <c r="BH1406" s="10"/>
      <c r="BI1406" s="10"/>
      <c r="BJ1406" s="10"/>
      <c r="BK1406" s="10"/>
      <c r="BL1406" s="10"/>
    </row>
    <row r="1407" spans="5:64" s="8" customFormat="1" x14ac:dyDescent="0.2">
      <c r="E1407" s="85"/>
      <c r="AR1407" s="10"/>
      <c r="AS1407" s="10"/>
      <c r="AT1407" s="10"/>
      <c r="AU1407" s="10"/>
      <c r="AV1407" s="10"/>
      <c r="AW1407" s="10"/>
      <c r="AX1407" s="10"/>
      <c r="AY1407" s="10"/>
      <c r="AZ1407" s="10"/>
      <c r="BA1407" s="10"/>
      <c r="BB1407" s="10"/>
      <c r="BC1407" s="10"/>
      <c r="BD1407" s="10"/>
      <c r="BE1407" s="10"/>
      <c r="BF1407" s="10"/>
      <c r="BG1407" s="10"/>
      <c r="BH1407" s="10"/>
      <c r="BI1407" s="10"/>
      <c r="BJ1407" s="10"/>
      <c r="BK1407" s="10"/>
      <c r="BL1407" s="10"/>
    </row>
    <row r="1408" spans="5:64" s="8" customFormat="1" x14ac:dyDescent="0.2">
      <c r="E1408" s="85"/>
      <c r="AR1408" s="10"/>
      <c r="AS1408" s="10"/>
      <c r="AT1408" s="10"/>
      <c r="AU1408" s="10"/>
      <c r="AV1408" s="10"/>
      <c r="AW1408" s="10"/>
      <c r="AX1408" s="10"/>
      <c r="AY1408" s="10"/>
      <c r="AZ1408" s="10"/>
      <c r="BA1408" s="10"/>
      <c r="BB1408" s="10"/>
      <c r="BC1408" s="10"/>
      <c r="BD1408" s="10"/>
      <c r="BE1408" s="10"/>
      <c r="BF1408" s="10"/>
      <c r="BG1408" s="10"/>
      <c r="BH1408" s="10"/>
      <c r="BI1408" s="10"/>
      <c r="BJ1408" s="10"/>
      <c r="BK1408" s="10"/>
      <c r="BL1408" s="10"/>
    </row>
    <row r="1409" spans="5:64" s="8" customFormat="1" x14ac:dyDescent="0.2">
      <c r="E1409" s="85"/>
      <c r="AR1409" s="10"/>
      <c r="AS1409" s="10"/>
      <c r="AT1409" s="10"/>
      <c r="AU1409" s="10"/>
      <c r="AV1409" s="10"/>
      <c r="AW1409" s="10"/>
      <c r="AX1409" s="10"/>
      <c r="AY1409" s="10"/>
      <c r="AZ1409" s="10"/>
      <c r="BA1409" s="10"/>
      <c r="BB1409" s="10"/>
      <c r="BC1409" s="10"/>
      <c r="BD1409" s="10"/>
      <c r="BE1409" s="10"/>
      <c r="BF1409" s="10"/>
      <c r="BG1409" s="10"/>
      <c r="BH1409" s="10"/>
      <c r="BI1409" s="10"/>
      <c r="BJ1409" s="10"/>
      <c r="BK1409" s="10"/>
      <c r="BL1409" s="10"/>
    </row>
    <row r="1410" spans="5:64" s="8" customFormat="1" x14ac:dyDescent="0.2">
      <c r="E1410" s="85"/>
      <c r="AR1410" s="10"/>
      <c r="AS1410" s="10"/>
      <c r="AT1410" s="10"/>
      <c r="AU1410" s="10"/>
      <c r="AV1410" s="10"/>
      <c r="AW1410" s="10"/>
      <c r="AX1410" s="10"/>
      <c r="AY1410" s="10"/>
      <c r="AZ1410" s="10"/>
      <c r="BA1410" s="10"/>
      <c r="BB1410" s="10"/>
      <c r="BC1410" s="10"/>
      <c r="BD1410" s="10"/>
      <c r="BE1410" s="10"/>
      <c r="BF1410" s="10"/>
      <c r="BG1410" s="10"/>
      <c r="BH1410" s="10"/>
      <c r="BI1410" s="10"/>
      <c r="BJ1410" s="10"/>
      <c r="BK1410" s="10"/>
      <c r="BL1410" s="10"/>
    </row>
    <row r="1411" spans="5:64" s="8" customFormat="1" x14ac:dyDescent="0.2">
      <c r="E1411" s="85"/>
      <c r="AR1411" s="10"/>
      <c r="AS1411" s="10"/>
      <c r="AT1411" s="10"/>
      <c r="AU1411" s="10"/>
      <c r="AV1411" s="10"/>
      <c r="AW1411" s="10"/>
      <c r="AX1411" s="10"/>
      <c r="AY1411" s="10"/>
      <c r="AZ1411" s="10"/>
      <c r="BA1411" s="10"/>
      <c r="BB1411" s="10"/>
      <c r="BC1411" s="10"/>
      <c r="BD1411" s="10"/>
      <c r="BE1411" s="10"/>
      <c r="BF1411" s="10"/>
      <c r="BG1411" s="10"/>
      <c r="BH1411" s="10"/>
      <c r="BI1411" s="10"/>
      <c r="BJ1411" s="10"/>
      <c r="BK1411" s="10"/>
      <c r="BL1411" s="10"/>
    </row>
    <row r="1412" spans="5:64" s="8" customFormat="1" x14ac:dyDescent="0.2">
      <c r="E1412" s="85"/>
      <c r="AR1412" s="10"/>
      <c r="AS1412" s="10"/>
      <c r="AT1412" s="10"/>
      <c r="AU1412" s="10"/>
      <c r="AV1412" s="10"/>
      <c r="AW1412" s="10"/>
      <c r="AX1412" s="10"/>
      <c r="AY1412" s="10"/>
      <c r="AZ1412" s="10"/>
      <c r="BA1412" s="10"/>
      <c r="BB1412" s="10"/>
      <c r="BC1412" s="10"/>
      <c r="BD1412" s="10"/>
      <c r="BE1412" s="10"/>
      <c r="BF1412" s="10"/>
      <c r="BG1412" s="10"/>
      <c r="BH1412" s="10"/>
      <c r="BI1412" s="10"/>
      <c r="BJ1412" s="10"/>
      <c r="BK1412" s="10"/>
      <c r="BL1412" s="10"/>
    </row>
    <row r="1413" spans="5:64" s="8" customFormat="1" x14ac:dyDescent="0.2">
      <c r="E1413" s="85"/>
      <c r="AR1413" s="10"/>
      <c r="AS1413" s="10"/>
      <c r="AT1413" s="10"/>
      <c r="AU1413" s="10"/>
      <c r="AV1413" s="10"/>
      <c r="AW1413" s="10"/>
      <c r="AX1413" s="10"/>
      <c r="AY1413" s="10"/>
      <c r="AZ1413" s="10"/>
      <c r="BA1413" s="10"/>
      <c r="BB1413" s="10"/>
      <c r="BC1413" s="10"/>
      <c r="BD1413" s="10"/>
      <c r="BE1413" s="10"/>
      <c r="BF1413" s="10"/>
      <c r="BG1413" s="10"/>
      <c r="BH1413" s="10"/>
      <c r="BI1413" s="10"/>
      <c r="BJ1413" s="10"/>
      <c r="BK1413" s="10"/>
      <c r="BL1413" s="10"/>
    </row>
    <row r="1414" spans="5:64" s="8" customFormat="1" x14ac:dyDescent="0.2">
      <c r="E1414" s="85"/>
      <c r="AR1414" s="10"/>
      <c r="AS1414" s="10"/>
      <c r="AT1414" s="10"/>
      <c r="AU1414" s="10"/>
      <c r="AV1414" s="10"/>
      <c r="AW1414" s="10"/>
      <c r="AX1414" s="10"/>
      <c r="AY1414" s="10"/>
      <c r="AZ1414" s="10"/>
      <c r="BA1414" s="10"/>
      <c r="BB1414" s="10"/>
      <c r="BC1414" s="10"/>
      <c r="BD1414" s="10"/>
      <c r="BE1414" s="10"/>
      <c r="BF1414" s="10"/>
      <c r="BG1414" s="10"/>
      <c r="BH1414" s="10"/>
      <c r="BI1414" s="10"/>
      <c r="BJ1414" s="10"/>
      <c r="BK1414" s="10"/>
      <c r="BL1414" s="10"/>
    </row>
    <row r="1415" spans="5:64" s="8" customFormat="1" x14ac:dyDescent="0.2">
      <c r="E1415" s="85"/>
      <c r="AR1415" s="10"/>
      <c r="AS1415" s="10"/>
      <c r="AT1415" s="10"/>
      <c r="AU1415" s="10"/>
      <c r="AV1415" s="10"/>
      <c r="AW1415" s="10"/>
      <c r="AX1415" s="10"/>
      <c r="AY1415" s="10"/>
      <c r="AZ1415" s="10"/>
      <c r="BA1415" s="10"/>
      <c r="BB1415" s="10"/>
      <c r="BC1415" s="10"/>
      <c r="BD1415" s="10"/>
      <c r="BE1415" s="10"/>
      <c r="BF1415" s="10"/>
      <c r="BG1415" s="10"/>
      <c r="BH1415" s="10"/>
      <c r="BI1415" s="10"/>
      <c r="BJ1415" s="10"/>
      <c r="BK1415" s="10"/>
      <c r="BL1415" s="10"/>
    </row>
    <row r="1416" spans="5:64" s="8" customFormat="1" x14ac:dyDescent="0.2">
      <c r="E1416" s="85"/>
      <c r="AR1416" s="10"/>
      <c r="AS1416" s="10"/>
      <c r="AT1416" s="10"/>
      <c r="AU1416" s="10"/>
      <c r="AV1416" s="10"/>
      <c r="AW1416" s="10"/>
      <c r="AX1416" s="10"/>
      <c r="AY1416" s="10"/>
      <c r="AZ1416" s="10"/>
      <c r="BA1416" s="10"/>
      <c r="BB1416" s="10"/>
      <c r="BC1416" s="10"/>
      <c r="BD1416" s="10"/>
      <c r="BE1416" s="10"/>
      <c r="BF1416" s="10"/>
      <c r="BG1416" s="10"/>
      <c r="BH1416" s="10"/>
      <c r="BI1416" s="10"/>
      <c r="BJ1416" s="10"/>
      <c r="BK1416" s="10"/>
      <c r="BL1416" s="10"/>
    </row>
    <row r="1417" spans="5:64" s="8" customFormat="1" x14ac:dyDescent="0.2">
      <c r="E1417" s="85"/>
      <c r="AR1417" s="10"/>
      <c r="AS1417" s="10"/>
      <c r="AT1417" s="10"/>
      <c r="AU1417" s="10"/>
      <c r="AV1417" s="10"/>
      <c r="AW1417" s="10"/>
      <c r="AX1417" s="10"/>
      <c r="AY1417" s="10"/>
      <c r="AZ1417" s="10"/>
      <c r="BA1417" s="10"/>
      <c r="BB1417" s="10"/>
      <c r="BC1417" s="10"/>
      <c r="BD1417" s="10"/>
      <c r="BE1417" s="10"/>
      <c r="BF1417" s="10"/>
      <c r="BG1417" s="10"/>
      <c r="BH1417" s="10"/>
      <c r="BI1417" s="10"/>
      <c r="BJ1417" s="10"/>
      <c r="BK1417" s="10"/>
      <c r="BL1417" s="10"/>
    </row>
    <row r="1418" spans="5:64" s="8" customFormat="1" x14ac:dyDescent="0.2">
      <c r="E1418" s="85"/>
      <c r="AR1418" s="10"/>
      <c r="AS1418" s="10"/>
      <c r="AT1418" s="10"/>
      <c r="AU1418" s="10"/>
      <c r="AV1418" s="10"/>
      <c r="AW1418" s="10"/>
      <c r="AX1418" s="10"/>
      <c r="AY1418" s="10"/>
      <c r="AZ1418" s="10"/>
      <c r="BA1418" s="10"/>
      <c r="BB1418" s="10"/>
      <c r="BC1418" s="10"/>
      <c r="BD1418" s="10"/>
      <c r="BE1418" s="10"/>
      <c r="BF1418" s="10"/>
      <c r="BG1418" s="10"/>
      <c r="BH1418" s="10"/>
      <c r="BI1418" s="10"/>
      <c r="BJ1418" s="10"/>
      <c r="BK1418" s="10"/>
      <c r="BL1418" s="10"/>
    </row>
    <row r="1419" spans="5:64" s="8" customFormat="1" x14ac:dyDescent="0.2">
      <c r="E1419" s="85"/>
      <c r="AR1419" s="10"/>
      <c r="AS1419" s="10"/>
      <c r="AT1419" s="10"/>
      <c r="AU1419" s="10"/>
      <c r="AV1419" s="10"/>
      <c r="AW1419" s="10"/>
      <c r="AX1419" s="10"/>
      <c r="AY1419" s="10"/>
      <c r="AZ1419" s="10"/>
      <c r="BA1419" s="10"/>
      <c r="BB1419" s="10"/>
      <c r="BC1419" s="10"/>
      <c r="BD1419" s="10"/>
      <c r="BE1419" s="10"/>
      <c r="BF1419" s="10"/>
      <c r="BG1419" s="10"/>
      <c r="BH1419" s="10"/>
      <c r="BI1419" s="10"/>
      <c r="BJ1419" s="10"/>
      <c r="BK1419" s="10"/>
      <c r="BL1419" s="10"/>
    </row>
    <row r="1420" spans="5:64" s="8" customFormat="1" x14ac:dyDescent="0.2">
      <c r="E1420" s="85"/>
      <c r="AR1420" s="10"/>
      <c r="AS1420" s="10"/>
      <c r="AT1420" s="10"/>
      <c r="AU1420" s="10"/>
      <c r="AV1420" s="10"/>
      <c r="AW1420" s="10"/>
      <c r="AX1420" s="10"/>
      <c r="AY1420" s="10"/>
      <c r="AZ1420" s="10"/>
      <c r="BA1420" s="10"/>
      <c r="BB1420" s="10"/>
      <c r="BC1420" s="10"/>
      <c r="BD1420" s="10"/>
      <c r="BE1420" s="10"/>
      <c r="BF1420" s="10"/>
      <c r="BG1420" s="10"/>
      <c r="BH1420" s="10"/>
      <c r="BI1420" s="10"/>
      <c r="BJ1420" s="10"/>
      <c r="BK1420" s="10"/>
      <c r="BL1420" s="10"/>
    </row>
    <row r="1421" spans="5:64" s="8" customFormat="1" x14ac:dyDescent="0.2">
      <c r="E1421" s="85"/>
      <c r="AR1421" s="10"/>
      <c r="AS1421" s="10"/>
      <c r="AT1421" s="10"/>
      <c r="AU1421" s="10"/>
      <c r="AV1421" s="10"/>
      <c r="AW1421" s="10"/>
      <c r="AX1421" s="10"/>
      <c r="AY1421" s="10"/>
      <c r="AZ1421" s="10"/>
      <c r="BA1421" s="10"/>
      <c r="BB1421" s="10"/>
      <c r="BC1421" s="10"/>
      <c r="BD1421" s="10"/>
      <c r="BE1421" s="10"/>
      <c r="BF1421" s="10"/>
      <c r="BG1421" s="10"/>
      <c r="BH1421" s="10"/>
      <c r="BI1421" s="10"/>
      <c r="BJ1421" s="10"/>
      <c r="BK1421" s="10"/>
      <c r="BL1421" s="10"/>
    </row>
    <row r="1422" spans="5:64" s="8" customFormat="1" x14ac:dyDescent="0.2">
      <c r="E1422" s="85"/>
      <c r="AR1422" s="10"/>
      <c r="AS1422" s="10"/>
      <c r="AT1422" s="10"/>
      <c r="AU1422" s="10"/>
      <c r="AV1422" s="10"/>
      <c r="AW1422" s="10"/>
      <c r="AX1422" s="10"/>
      <c r="AY1422" s="10"/>
      <c r="AZ1422" s="10"/>
      <c r="BA1422" s="10"/>
      <c r="BB1422" s="10"/>
      <c r="BC1422" s="10"/>
      <c r="BD1422" s="10"/>
      <c r="BE1422" s="10"/>
      <c r="BF1422" s="10"/>
      <c r="BG1422" s="10"/>
      <c r="BH1422" s="10"/>
      <c r="BI1422" s="10"/>
      <c r="BJ1422" s="10"/>
      <c r="BK1422" s="10"/>
      <c r="BL1422" s="10"/>
    </row>
    <row r="1423" spans="5:64" s="8" customFormat="1" x14ac:dyDescent="0.2">
      <c r="E1423" s="85"/>
      <c r="AR1423" s="10"/>
      <c r="AS1423" s="10"/>
      <c r="AT1423" s="10"/>
      <c r="AU1423" s="10"/>
      <c r="AV1423" s="10"/>
      <c r="AW1423" s="10"/>
      <c r="AX1423" s="10"/>
      <c r="AY1423" s="10"/>
      <c r="AZ1423" s="10"/>
      <c r="BA1423" s="10"/>
      <c r="BB1423" s="10"/>
      <c r="BC1423" s="10"/>
      <c r="BD1423" s="10"/>
      <c r="BE1423" s="10"/>
      <c r="BF1423" s="10"/>
      <c r="BG1423" s="10"/>
      <c r="BH1423" s="10"/>
      <c r="BI1423" s="10"/>
      <c r="BJ1423" s="10"/>
      <c r="BK1423" s="10"/>
      <c r="BL1423" s="10"/>
    </row>
    <row r="1424" spans="5:64" s="8" customFormat="1" x14ac:dyDescent="0.2">
      <c r="E1424" s="85"/>
      <c r="AR1424" s="10"/>
      <c r="AS1424" s="10"/>
      <c r="AT1424" s="10"/>
      <c r="AU1424" s="10"/>
      <c r="AV1424" s="10"/>
      <c r="AW1424" s="10"/>
      <c r="AX1424" s="10"/>
      <c r="AY1424" s="10"/>
      <c r="AZ1424" s="10"/>
      <c r="BA1424" s="10"/>
      <c r="BB1424" s="10"/>
      <c r="BC1424" s="10"/>
      <c r="BD1424" s="10"/>
      <c r="BE1424" s="10"/>
      <c r="BF1424" s="10"/>
      <c r="BG1424" s="10"/>
      <c r="BH1424" s="10"/>
      <c r="BI1424" s="10"/>
      <c r="BJ1424" s="10"/>
      <c r="BK1424" s="10"/>
      <c r="BL1424" s="10"/>
    </row>
    <row r="1425" spans="5:64" s="8" customFormat="1" x14ac:dyDescent="0.2">
      <c r="E1425" s="85"/>
      <c r="AR1425" s="10"/>
      <c r="AS1425" s="10"/>
      <c r="AT1425" s="10"/>
      <c r="AU1425" s="10"/>
      <c r="AV1425" s="10"/>
      <c r="AW1425" s="10"/>
      <c r="AX1425" s="10"/>
      <c r="AY1425" s="10"/>
      <c r="AZ1425" s="10"/>
      <c r="BA1425" s="10"/>
      <c r="BB1425" s="10"/>
      <c r="BC1425" s="10"/>
      <c r="BD1425" s="10"/>
      <c r="BE1425" s="10"/>
      <c r="BF1425" s="10"/>
      <c r="BG1425" s="10"/>
      <c r="BH1425" s="10"/>
      <c r="BI1425" s="10"/>
      <c r="BJ1425" s="10"/>
      <c r="BK1425" s="10"/>
      <c r="BL1425" s="10"/>
    </row>
    <row r="1426" spans="5:64" s="8" customFormat="1" x14ac:dyDescent="0.2">
      <c r="E1426" s="85"/>
      <c r="AR1426" s="10"/>
      <c r="AS1426" s="10"/>
      <c r="AT1426" s="10"/>
      <c r="AU1426" s="10"/>
      <c r="AV1426" s="10"/>
      <c r="AW1426" s="10"/>
      <c r="AX1426" s="10"/>
      <c r="AY1426" s="10"/>
      <c r="AZ1426" s="10"/>
      <c r="BA1426" s="10"/>
      <c r="BB1426" s="10"/>
      <c r="BC1426" s="10"/>
      <c r="BD1426" s="10"/>
      <c r="BE1426" s="10"/>
      <c r="BF1426" s="10"/>
      <c r="BG1426" s="10"/>
      <c r="BH1426" s="10"/>
      <c r="BI1426" s="10"/>
      <c r="BJ1426" s="10"/>
      <c r="BK1426" s="10"/>
      <c r="BL1426" s="10"/>
    </row>
    <row r="1427" spans="5:64" s="8" customFormat="1" x14ac:dyDescent="0.2">
      <c r="E1427" s="85"/>
      <c r="AR1427" s="10"/>
      <c r="AS1427" s="10"/>
      <c r="AT1427" s="10"/>
      <c r="AU1427" s="10"/>
      <c r="AV1427" s="10"/>
      <c r="AW1427" s="10"/>
      <c r="AX1427" s="10"/>
      <c r="AY1427" s="10"/>
      <c r="AZ1427" s="10"/>
      <c r="BA1427" s="10"/>
      <c r="BB1427" s="10"/>
      <c r="BC1427" s="10"/>
      <c r="BD1427" s="10"/>
      <c r="BE1427" s="10"/>
      <c r="BF1427" s="10"/>
      <c r="BG1427" s="10"/>
      <c r="BH1427" s="10"/>
      <c r="BI1427" s="10"/>
      <c r="BJ1427" s="10"/>
      <c r="BK1427" s="10"/>
      <c r="BL1427" s="10"/>
    </row>
    <row r="1428" spans="5:64" s="8" customFormat="1" x14ac:dyDescent="0.2">
      <c r="E1428" s="85"/>
      <c r="AR1428" s="10"/>
      <c r="AS1428" s="10"/>
      <c r="AT1428" s="10"/>
      <c r="AU1428" s="10"/>
      <c r="AV1428" s="10"/>
      <c r="AW1428" s="10"/>
      <c r="AX1428" s="10"/>
      <c r="AY1428" s="10"/>
      <c r="AZ1428" s="10"/>
      <c r="BA1428" s="10"/>
      <c r="BB1428" s="10"/>
      <c r="BC1428" s="10"/>
      <c r="BD1428" s="10"/>
      <c r="BE1428" s="10"/>
      <c r="BF1428" s="10"/>
      <c r="BG1428" s="10"/>
      <c r="BH1428" s="10"/>
      <c r="BI1428" s="10"/>
      <c r="BJ1428" s="10"/>
      <c r="BK1428" s="10"/>
      <c r="BL1428" s="10"/>
    </row>
    <row r="1429" spans="5:64" s="8" customFormat="1" x14ac:dyDescent="0.2">
      <c r="E1429" s="85"/>
      <c r="AR1429" s="10"/>
      <c r="AS1429" s="10"/>
      <c r="AT1429" s="10"/>
      <c r="AU1429" s="10"/>
      <c r="AV1429" s="10"/>
      <c r="AW1429" s="10"/>
      <c r="AX1429" s="10"/>
      <c r="AY1429" s="10"/>
      <c r="AZ1429" s="10"/>
      <c r="BA1429" s="10"/>
      <c r="BB1429" s="10"/>
      <c r="BC1429" s="10"/>
      <c r="BD1429" s="10"/>
      <c r="BE1429" s="10"/>
      <c r="BF1429" s="10"/>
      <c r="BG1429" s="10"/>
      <c r="BH1429" s="10"/>
      <c r="BI1429" s="10"/>
      <c r="BJ1429" s="10"/>
      <c r="BK1429" s="10"/>
      <c r="BL1429" s="10"/>
    </row>
    <row r="1430" spans="5:64" s="8" customFormat="1" x14ac:dyDescent="0.2">
      <c r="E1430" s="85"/>
      <c r="AR1430" s="10"/>
      <c r="AS1430" s="10"/>
      <c r="AT1430" s="10"/>
      <c r="AU1430" s="10"/>
      <c r="AV1430" s="10"/>
      <c r="AW1430" s="10"/>
      <c r="AX1430" s="10"/>
      <c r="AY1430" s="10"/>
      <c r="AZ1430" s="10"/>
      <c r="BA1430" s="10"/>
      <c r="BB1430" s="10"/>
      <c r="BC1430" s="10"/>
      <c r="BD1430" s="10"/>
      <c r="BE1430" s="10"/>
      <c r="BF1430" s="10"/>
      <c r="BG1430" s="10"/>
      <c r="BH1430" s="10"/>
      <c r="BI1430" s="10"/>
      <c r="BJ1430" s="10"/>
      <c r="BK1430" s="10"/>
      <c r="BL1430" s="10"/>
    </row>
    <row r="1431" spans="5:64" s="8" customFormat="1" x14ac:dyDescent="0.2">
      <c r="E1431" s="85"/>
      <c r="AR1431" s="10"/>
      <c r="AS1431" s="10"/>
      <c r="AT1431" s="10"/>
      <c r="AU1431" s="10"/>
      <c r="AV1431" s="10"/>
      <c r="AW1431" s="10"/>
      <c r="AX1431" s="10"/>
      <c r="AY1431" s="10"/>
      <c r="AZ1431" s="10"/>
      <c r="BA1431" s="10"/>
      <c r="BB1431" s="10"/>
      <c r="BC1431" s="10"/>
      <c r="BD1431" s="10"/>
      <c r="BE1431" s="10"/>
      <c r="BF1431" s="10"/>
      <c r="BG1431" s="10"/>
      <c r="BH1431" s="10"/>
      <c r="BI1431" s="10"/>
      <c r="BJ1431" s="10"/>
      <c r="BK1431" s="10"/>
      <c r="BL1431" s="10"/>
    </row>
    <row r="1432" spans="5:64" s="8" customFormat="1" x14ac:dyDescent="0.2">
      <c r="E1432" s="85"/>
      <c r="AR1432" s="10"/>
      <c r="AS1432" s="10"/>
      <c r="AT1432" s="10"/>
      <c r="AU1432" s="10"/>
      <c r="AV1432" s="10"/>
      <c r="AW1432" s="10"/>
      <c r="AX1432" s="10"/>
      <c r="AY1432" s="10"/>
      <c r="AZ1432" s="10"/>
      <c r="BA1432" s="10"/>
      <c r="BB1432" s="10"/>
      <c r="BC1432" s="10"/>
      <c r="BD1432" s="10"/>
      <c r="BE1432" s="10"/>
      <c r="BF1432" s="10"/>
      <c r="BG1432" s="10"/>
      <c r="BH1432" s="10"/>
      <c r="BI1432" s="10"/>
      <c r="BJ1432" s="10"/>
      <c r="BK1432" s="10"/>
      <c r="BL1432" s="10"/>
    </row>
    <row r="1433" spans="5:64" s="8" customFormat="1" x14ac:dyDescent="0.2">
      <c r="E1433" s="85"/>
      <c r="AR1433" s="10"/>
      <c r="AS1433" s="10"/>
      <c r="AT1433" s="10"/>
      <c r="AU1433" s="10"/>
      <c r="AV1433" s="10"/>
      <c r="AW1433" s="10"/>
      <c r="AX1433" s="10"/>
      <c r="AY1433" s="10"/>
      <c r="AZ1433" s="10"/>
      <c r="BA1433" s="10"/>
      <c r="BB1433" s="10"/>
      <c r="BC1433" s="10"/>
      <c r="BD1433" s="10"/>
      <c r="BE1433" s="10"/>
      <c r="BF1433" s="10"/>
      <c r="BG1433" s="10"/>
      <c r="BH1433" s="10"/>
      <c r="BI1433" s="10"/>
      <c r="BJ1433" s="10"/>
      <c r="BK1433" s="10"/>
      <c r="BL1433" s="10"/>
    </row>
    <row r="1434" spans="5:64" s="8" customFormat="1" x14ac:dyDescent="0.2">
      <c r="E1434" s="85"/>
      <c r="AR1434" s="10"/>
      <c r="AS1434" s="10"/>
      <c r="AT1434" s="10"/>
      <c r="AU1434" s="10"/>
      <c r="AV1434" s="10"/>
      <c r="AW1434" s="10"/>
      <c r="AX1434" s="10"/>
      <c r="AY1434" s="10"/>
      <c r="AZ1434" s="10"/>
      <c r="BA1434" s="10"/>
      <c r="BB1434" s="10"/>
      <c r="BC1434" s="10"/>
      <c r="BD1434" s="10"/>
      <c r="BE1434" s="10"/>
      <c r="BF1434" s="10"/>
      <c r="BG1434" s="10"/>
      <c r="BH1434" s="10"/>
      <c r="BI1434" s="10"/>
      <c r="BJ1434" s="10"/>
      <c r="BK1434" s="10"/>
      <c r="BL1434" s="10"/>
    </row>
    <row r="1435" spans="5:64" s="8" customFormat="1" x14ac:dyDescent="0.2">
      <c r="E1435" s="85"/>
      <c r="AR1435" s="10"/>
      <c r="AS1435" s="10"/>
      <c r="AT1435" s="10"/>
      <c r="AU1435" s="10"/>
      <c r="AV1435" s="10"/>
      <c r="AW1435" s="10"/>
      <c r="AX1435" s="10"/>
      <c r="AY1435" s="10"/>
      <c r="AZ1435" s="10"/>
      <c r="BA1435" s="10"/>
      <c r="BB1435" s="10"/>
      <c r="BC1435" s="10"/>
      <c r="BD1435" s="10"/>
      <c r="BE1435" s="10"/>
      <c r="BF1435" s="10"/>
      <c r="BG1435" s="10"/>
      <c r="BH1435" s="10"/>
      <c r="BI1435" s="10"/>
      <c r="BJ1435" s="10"/>
      <c r="BK1435" s="10"/>
      <c r="BL1435" s="10"/>
    </row>
    <row r="1436" spans="5:64" s="8" customFormat="1" x14ac:dyDescent="0.2">
      <c r="E1436" s="85"/>
      <c r="AR1436" s="10"/>
      <c r="AS1436" s="10"/>
      <c r="AT1436" s="10"/>
      <c r="AU1436" s="10"/>
      <c r="AV1436" s="10"/>
      <c r="AW1436" s="10"/>
      <c r="AX1436" s="10"/>
      <c r="AY1436" s="10"/>
      <c r="AZ1436" s="10"/>
      <c r="BA1436" s="10"/>
      <c r="BB1436" s="10"/>
      <c r="BC1436" s="10"/>
      <c r="BD1436" s="10"/>
      <c r="BE1436" s="10"/>
      <c r="BF1436" s="10"/>
      <c r="BG1436" s="10"/>
      <c r="BH1436" s="10"/>
      <c r="BI1436" s="10"/>
      <c r="BJ1436" s="10"/>
      <c r="BK1436" s="10"/>
      <c r="BL1436" s="10"/>
    </row>
    <row r="1437" spans="5:64" s="8" customFormat="1" x14ac:dyDescent="0.2">
      <c r="E1437" s="85"/>
      <c r="AR1437" s="10"/>
      <c r="AS1437" s="10"/>
      <c r="AT1437" s="10"/>
      <c r="AU1437" s="10"/>
      <c r="AV1437" s="10"/>
      <c r="AW1437" s="10"/>
      <c r="AX1437" s="10"/>
      <c r="AY1437" s="10"/>
      <c r="AZ1437" s="10"/>
      <c r="BA1437" s="10"/>
      <c r="BB1437" s="10"/>
      <c r="BC1437" s="10"/>
      <c r="BD1437" s="10"/>
      <c r="BE1437" s="10"/>
      <c r="BF1437" s="10"/>
      <c r="BG1437" s="10"/>
      <c r="BH1437" s="10"/>
      <c r="BI1437" s="10"/>
      <c r="BJ1437" s="10"/>
      <c r="BK1437" s="10"/>
      <c r="BL1437" s="10"/>
    </row>
    <row r="1438" spans="5:64" s="8" customFormat="1" x14ac:dyDescent="0.2">
      <c r="E1438" s="85"/>
      <c r="AR1438" s="10"/>
      <c r="AS1438" s="10"/>
      <c r="AT1438" s="10"/>
      <c r="AU1438" s="10"/>
      <c r="AV1438" s="10"/>
      <c r="AW1438" s="10"/>
      <c r="AX1438" s="10"/>
      <c r="AY1438" s="10"/>
      <c r="AZ1438" s="10"/>
      <c r="BA1438" s="10"/>
      <c r="BB1438" s="10"/>
      <c r="BC1438" s="10"/>
      <c r="BD1438" s="10"/>
      <c r="BE1438" s="10"/>
      <c r="BF1438" s="10"/>
      <c r="BG1438" s="10"/>
      <c r="BH1438" s="10"/>
      <c r="BI1438" s="10"/>
      <c r="BJ1438" s="10"/>
      <c r="BK1438" s="10"/>
      <c r="BL1438" s="10"/>
    </row>
    <row r="1439" spans="5:64" s="8" customFormat="1" x14ac:dyDescent="0.2">
      <c r="E1439" s="85"/>
      <c r="AR1439" s="10"/>
      <c r="AS1439" s="10"/>
      <c r="AT1439" s="10"/>
      <c r="AU1439" s="10"/>
      <c r="AV1439" s="10"/>
      <c r="AW1439" s="10"/>
      <c r="AX1439" s="10"/>
      <c r="AY1439" s="10"/>
      <c r="AZ1439" s="10"/>
      <c r="BA1439" s="10"/>
      <c r="BB1439" s="10"/>
      <c r="BC1439" s="10"/>
      <c r="BD1439" s="10"/>
      <c r="BE1439" s="10"/>
      <c r="BF1439" s="10"/>
      <c r="BG1439" s="10"/>
      <c r="BH1439" s="10"/>
      <c r="BI1439" s="10"/>
      <c r="BJ1439" s="10"/>
      <c r="BK1439" s="10"/>
      <c r="BL1439" s="10"/>
    </row>
    <row r="1440" spans="5:64" s="8" customFormat="1" x14ac:dyDescent="0.2">
      <c r="E1440" s="85"/>
      <c r="AR1440" s="10"/>
      <c r="AS1440" s="10"/>
      <c r="AT1440" s="10"/>
      <c r="AU1440" s="10"/>
      <c r="AV1440" s="10"/>
      <c r="AW1440" s="10"/>
      <c r="AX1440" s="10"/>
      <c r="AY1440" s="10"/>
      <c r="AZ1440" s="10"/>
      <c r="BA1440" s="10"/>
      <c r="BB1440" s="10"/>
      <c r="BC1440" s="10"/>
      <c r="BD1440" s="10"/>
      <c r="BE1440" s="10"/>
      <c r="BF1440" s="10"/>
      <c r="BG1440" s="10"/>
      <c r="BH1440" s="10"/>
      <c r="BI1440" s="10"/>
      <c r="BJ1440" s="10"/>
      <c r="BK1440" s="10"/>
      <c r="BL1440" s="10"/>
    </row>
    <row r="1441" spans="5:64" s="8" customFormat="1" x14ac:dyDescent="0.2">
      <c r="E1441" s="85"/>
      <c r="AR1441" s="10"/>
      <c r="AS1441" s="10"/>
      <c r="AT1441" s="10"/>
      <c r="AU1441" s="10"/>
      <c r="AV1441" s="10"/>
      <c r="AW1441" s="10"/>
      <c r="AX1441" s="10"/>
      <c r="AY1441" s="10"/>
      <c r="AZ1441" s="10"/>
      <c r="BA1441" s="10"/>
      <c r="BB1441" s="10"/>
      <c r="BC1441" s="10"/>
      <c r="BD1441" s="10"/>
      <c r="BE1441" s="10"/>
      <c r="BF1441" s="10"/>
      <c r="BG1441" s="10"/>
      <c r="BH1441" s="10"/>
      <c r="BI1441" s="10"/>
      <c r="BJ1441" s="10"/>
      <c r="BK1441" s="10"/>
      <c r="BL1441" s="10"/>
    </row>
    <row r="1442" spans="5:64" s="8" customFormat="1" x14ac:dyDescent="0.2">
      <c r="E1442" s="85"/>
      <c r="AR1442" s="10"/>
      <c r="AS1442" s="10"/>
      <c r="AT1442" s="10"/>
      <c r="AU1442" s="10"/>
      <c r="AV1442" s="10"/>
      <c r="AW1442" s="10"/>
      <c r="AX1442" s="10"/>
      <c r="AY1442" s="10"/>
      <c r="AZ1442" s="10"/>
      <c r="BA1442" s="10"/>
      <c r="BB1442" s="10"/>
      <c r="BC1442" s="10"/>
      <c r="BD1442" s="10"/>
      <c r="BE1442" s="10"/>
      <c r="BF1442" s="10"/>
      <c r="BG1442" s="10"/>
      <c r="BH1442" s="10"/>
      <c r="BI1442" s="10"/>
      <c r="BJ1442" s="10"/>
      <c r="BK1442" s="10"/>
      <c r="BL1442" s="10"/>
    </row>
    <row r="1443" spans="5:64" s="8" customFormat="1" x14ac:dyDescent="0.2">
      <c r="E1443" s="85"/>
      <c r="AR1443" s="10"/>
      <c r="AS1443" s="10"/>
      <c r="AT1443" s="10"/>
      <c r="AU1443" s="10"/>
      <c r="AV1443" s="10"/>
      <c r="AW1443" s="10"/>
      <c r="AX1443" s="10"/>
      <c r="AY1443" s="10"/>
      <c r="AZ1443" s="10"/>
      <c r="BA1443" s="10"/>
      <c r="BB1443" s="10"/>
      <c r="BC1443" s="10"/>
      <c r="BD1443" s="10"/>
      <c r="BE1443" s="10"/>
      <c r="BF1443" s="10"/>
      <c r="BG1443" s="10"/>
      <c r="BH1443" s="10"/>
      <c r="BI1443" s="10"/>
      <c r="BJ1443" s="10"/>
      <c r="BK1443" s="10"/>
      <c r="BL1443" s="10"/>
    </row>
    <row r="1444" spans="5:64" s="8" customFormat="1" x14ac:dyDescent="0.2">
      <c r="E1444" s="85"/>
      <c r="AR1444" s="10"/>
      <c r="AS1444" s="10"/>
      <c r="AT1444" s="10"/>
      <c r="AU1444" s="10"/>
      <c r="AV1444" s="10"/>
      <c r="AW1444" s="10"/>
      <c r="AX1444" s="10"/>
      <c r="AY1444" s="10"/>
      <c r="AZ1444" s="10"/>
      <c r="BA1444" s="10"/>
      <c r="BB1444" s="10"/>
      <c r="BC1444" s="10"/>
      <c r="BD1444" s="10"/>
      <c r="BE1444" s="10"/>
      <c r="BF1444" s="10"/>
      <c r="BG1444" s="10"/>
      <c r="BH1444" s="10"/>
      <c r="BI1444" s="10"/>
      <c r="BJ1444" s="10"/>
      <c r="BK1444" s="10"/>
      <c r="BL1444" s="10"/>
    </row>
    <row r="1445" spans="5:64" s="8" customFormat="1" x14ac:dyDescent="0.2">
      <c r="E1445" s="85"/>
      <c r="AR1445" s="10"/>
      <c r="AS1445" s="10"/>
      <c r="AT1445" s="10"/>
      <c r="AU1445" s="10"/>
      <c r="AV1445" s="10"/>
      <c r="AW1445" s="10"/>
      <c r="AX1445" s="10"/>
      <c r="AY1445" s="10"/>
      <c r="AZ1445" s="10"/>
      <c r="BA1445" s="10"/>
      <c r="BB1445" s="10"/>
      <c r="BC1445" s="10"/>
      <c r="BD1445" s="10"/>
      <c r="BE1445" s="10"/>
      <c r="BF1445" s="10"/>
      <c r="BG1445" s="10"/>
      <c r="BH1445" s="10"/>
      <c r="BI1445" s="10"/>
      <c r="BJ1445" s="10"/>
      <c r="BK1445" s="10"/>
      <c r="BL1445" s="10"/>
    </row>
    <row r="1446" spans="5:64" s="8" customFormat="1" x14ac:dyDescent="0.2">
      <c r="E1446" s="85"/>
      <c r="AR1446" s="10"/>
      <c r="AS1446" s="10"/>
      <c r="AT1446" s="10"/>
      <c r="AU1446" s="10"/>
      <c r="AV1446" s="10"/>
      <c r="AW1446" s="10"/>
      <c r="AX1446" s="10"/>
      <c r="AY1446" s="10"/>
      <c r="AZ1446" s="10"/>
      <c r="BA1446" s="10"/>
      <c r="BB1446" s="10"/>
      <c r="BC1446" s="10"/>
      <c r="BD1446" s="10"/>
      <c r="BE1446" s="10"/>
      <c r="BF1446" s="10"/>
      <c r="BG1446" s="10"/>
      <c r="BH1446" s="10"/>
      <c r="BI1446" s="10"/>
      <c r="BJ1446" s="10"/>
      <c r="BK1446" s="10"/>
      <c r="BL1446" s="10"/>
    </row>
    <row r="1447" spans="5:64" s="8" customFormat="1" x14ac:dyDescent="0.2">
      <c r="E1447" s="85"/>
      <c r="AR1447" s="10"/>
      <c r="AS1447" s="10"/>
      <c r="AT1447" s="10"/>
      <c r="AU1447" s="10"/>
      <c r="AV1447" s="10"/>
      <c r="AW1447" s="10"/>
      <c r="AX1447" s="10"/>
      <c r="AY1447" s="10"/>
      <c r="AZ1447" s="10"/>
      <c r="BA1447" s="10"/>
      <c r="BB1447" s="10"/>
      <c r="BC1447" s="10"/>
      <c r="BD1447" s="10"/>
      <c r="BE1447" s="10"/>
      <c r="BF1447" s="10"/>
      <c r="BG1447" s="10"/>
      <c r="BH1447" s="10"/>
      <c r="BI1447" s="10"/>
      <c r="BJ1447" s="10"/>
      <c r="BK1447" s="10"/>
      <c r="BL1447" s="10"/>
    </row>
    <row r="1448" spans="5:64" s="8" customFormat="1" x14ac:dyDescent="0.2">
      <c r="E1448" s="85"/>
      <c r="AR1448" s="10"/>
      <c r="AS1448" s="10"/>
      <c r="AT1448" s="10"/>
      <c r="AU1448" s="10"/>
      <c r="AV1448" s="10"/>
      <c r="AW1448" s="10"/>
      <c r="AX1448" s="10"/>
      <c r="AY1448" s="10"/>
      <c r="AZ1448" s="10"/>
      <c r="BA1448" s="10"/>
      <c r="BB1448" s="10"/>
      <c r="BC1448" s="10"/>
      <c r="BD1448" s="10"/>
      <c r="BE1448" s="10"/>
      <c r="BF1448" s="10"/>
      <c r="BG1448" s="10"/>
      <c r="BH1448" s="10"/>
      <c r="BI1448" s="10"/>
      <c r="BJ1448" s="10"/>
      <c r="BK1448" s="10"/>
      <c r="BL1448" s="10"/>
    </row>
    <row r="1449" spans="5:64" s="8" customFormat="1" x14ac:dyDescent="0.2">
      <c r="E1449" s="85"/>
      <c r="AR1449" s="10"/>
      <c r="AS1449" s="10"/>
      <c r="AT1449" s="10"/>
      <c r="AU1449" s="10"/>
      <c r="AV1449" s="10"/>
      <c r="AW1449" s="10"/>
      <c r="AX1449" s="10"/>
      <c r="AY1449" s="10"/>
      <c r="AZ1449" s="10"/>
      <c r="BA1449" s="10"/>
      <c r="BB1449" s="10"/>
      <c r="BC1449" s="10"/>
      <c r="BD1449" s="10"/>
      <c r="BE1449" s="10"/>
      <c r="BF1449" s="10"/>
      <c r="BG1449" s="10"/>
      <c r="BH1449" s="10"/>
      <c r="BI1449" s="10"/>
      <c r="BJ1449" s="10"/>
      <c r="BK1449" s="10"/>
      <c r="BL1449" s="10"/>
    </row>
    <row r="1450" spans="5:64" s="8" customFormat="1" x14ac:dyDescent="0.2">
      <c r="E1450" s="85"/>
      <c r="AR1450" s="10"/>
      <c r="AS1450" s="10"/>
      <c r="AT1450" s="10"/>
      <c r="AU1450" s="10"/>
      <c r="AV1450" s="10"/>
      <c r="AW1450" s="10"/>
      <c r="AX1450" s="10"/>
      <c r="AY1450" s="10"/>
      <c r="AZ1450" s="10"/>
      <c r="BA1450" s="10"/>
      <c r="BB1450" s="10"/>
      <c r="BC1450" s="10"/>
      <c r="BD1450" s="10"/>
      <c r="BE1450" s="10"/>
      <c r="BF1450" s="10"/>
      <c r="BG1450" s="10"/>
      <c r="BH1450" s="10"/>
      <c r="BI1450" s="10"/>
      <c r="BJ1450" s="10"/>
      <c r="BK1450" s="10"/>
      <c r="BL1450" s="10"/>
    </row>
    <row r="1451" spans="5:64" s="8" customFormat="1" x14ac:dyDescent="0.2">
      <c r="E1451" s="85"/>
      <c r="AR1451" s="10"/>
      <c r="AS1451" s="10"/>
      <c r="AT1451" s="10"/>
      <c r="AU1451" s="10"/>
      <c r="AV1451" s="10"/>
      <c r="AW1451" s="10"/>
      <c r="AX1451" s="10"/>
      <c r="AY1451" s="10"/>
      <c r="AZ1451" s="10"/>
      <c r="BA1451" s="10"/>
      <c r="BB1451" s="10"/>
      <c r="BC1451" s="10"/>
      <c r="BD1451" s="10"/>
      <c r="BE1451" s="10"/>
      <c r="BF1451" s="10"/>
      <c r="BG1451" s="10"/>
      <c r="BH1451" s="10"/>
      <c r="BI1451" s="10"/>
      <c r="BJ1451" s="10"/>
      <c r="BK1451" s="10"/>
      <c r="BL1451" s="10"/>
    </row>
    <row r="1452" spans="5:64" s="8" customFormat="1" x14ac:dyDescent="0.2">
      <c r="E1452" s="85"/>
      <c r="AR1452" s="10"/>
      <c r="AS1452" s="10"/>
      <c r="AT1452" s="10"/>
      <c r="AU1452" s="10"/>
      <c r="AV1452" s="10"/>
      <c r="AW1452" s="10"/>
      <c r="AX1452" s="10"/>
      <c r="AY1452" s="10"/>
      <c r="AZ1452" s="10"/>
      <c r="BA1452" s="10"/>
      <c r="BB1452" s="10"/>
      <c r="BC1452" s="10"/>
      <c r="BD1452" s="10"/>
      <c r="BE1452" s="10"/>
      <c r="BF1452" s="10"/>
      <c r="BG1452" s="10"/>
      <c r="BH1452" s="10"/>
      <c r="BI1452" s="10"/>
      <c r="BJ1452" s="10"/>
      <c r="BK1452" s="10"/>
      <c r="BL1452" s="10"/>
    </row>
    <row r="1453" spans="5:64" s="8" customFormat="1" x14ac:dyDescent="0.2">
      <c r="E1453" s="85"/>
      <c r="AR1453" s="10"/>
      <c r="AS1453" s="10"/>
      <c r="AT1453" s="10"/>
      <c r="AU1453" s="10"/>
      <c r="AV1453" s="10"/>
      <c r="AW1453" s="10"/>
      <c r="AX1453" s="10"/>
      <c r="AY1453" s="10"/>
      <c r="AZ1453" s="10"/>
      <c r="BA1453" s="10"/>
      <c r="BB1453" s="10"/>
      <c r="BC1453" s="10"/>
      <c r="BD1453" s="10"/>
      <c r="BE1453" s="10"/>
      <c r="BF1453" s="10"/>
      <c r="BG1453" s="10"/>
      <c r="BH1453" s="10"/>
      <c r="BI1453" s="10"/>
      <c r="BJ1453" s="10"/>
      <c r="BK1453" s="10"/>
      <c r="BL1453" s="10"/>
    </row>
    <row r="1454" spans="5:64" s="8" customFormat="1" x14ac:dyDescent="0.2">
      <c r="E1454" s="85"/>
      <c r="AR1454" s="10"/>
      <c r="AS1454" s="10"/>
      <c r="AT1454" s="10"/>
      <c r="AU1454" s="10"/>
      <c r="AV1454" s="10"/>
      <c r="AW1454" s="10"/>
      <c r="AX1454" s="10"/>
      <c r="AY1454" s="10"/>
      <c r="AZ1454" s="10"/>
      <c r="BA1454" s="10"/>
      <c r="BB1454" s="10"/>
      <c r="BC1454" s="10"/>
      <c r="BD1454" s="10"/>
      <c r="BE1454" s="10"/>
      <c r="BF1454" s="10"/>
      <c r="BG1454" s="10"/>
      <c r="BH1454" s="10"/>
      <c r="BI1454" s="10"/>
      <c r="BJ1454" s="10"/>
      <c r="BK1454" s="10"/>
      <c r="BL1454" s="10"/>
    </row>
    <row r="1455" spans="5:64" s="8" customFormat="1" x14ac:dyDescent="0.2">
      <c r="E1455" s="85"/>
      <c r="AR1455" s="10"/>
      <c r="AS1455" s="10"/>
      <c r="AT1455" s="10"/>
      <c r="AU1455" s="10"/>
      <c r="AV1455" s="10"/>
      <c r="AW1455" s="10"/>
      <c r="AX1455" s="10"/>
      <c r="AY1455" s="10"/>
      <c r="AZ1455" s="10"/>
      <c r="BA1455" s="10"/>
      <c r="BB1455" s="10"/>
      <c r="BC1455" s="10"/>
      <c r="BD1455" s="10"/>
      <c r="BE1455" s="10"/>
      <c r="BF1455" s="10"/>
      <c r="BG1455" s="10"/>
      <c r="BH1455" s="10"/>
      <c r="BI1455" s="10"/>
      <c r="BJ1455" s="10"/>
      <c r="BK1455" s="10"/>
      <c r="BL1455" s="10"/>
    </row>
    <row r="1456" spans="5:64" s="8" customFormat="1" x14ac:dyDescent="0.2">
      <c r="E1456" s="85"/>
      <c r="AR1456" s="10"/>
      <c r="AS1456" s="10"/>
      <c r="AT1456" s="10"/>
      <c r="AU1456" s="10"/>
      <c r="AV1456" s="10"/>
      <c r="AW1456" s="10"/>
      <c r="AX1456" s="10"/>
      <c r="AY1456" s="10"/>
      <c r="AZ1456" s="10"/>
      <c r="BA1456" s="10"/>
      <c r="BB1456" s="10"/>
      <c r="BC1456" s="10"/>
      <c r="BD1456" s="10"/>
      <c r="BE1456" s="10"/>
      <c r="BF1456" s="10"/>
      <c r="BG1456" s="10"/>
      <c r="BH1456" s="10"/>
      <c r="BI1456" s="10"/>
      <c r="BJ1456" s="10"/>
      <c r="BK1456" s="10"/>
      <c r="BL1456" s="10"/>
    </row>
    <row r="1457" spans="5:64" s="8" customFormat="1" x14ac:dyDescent="0.2">
      <c r="E1457" s="85"/>
      <c r="AR1457" s="10"/>
      <c r="AS1457" s="10"/>
      <c r="AT1457" s="10"/>
      <c r="AU1457" s="10"/>
      <c r="AV1457" s="10"/>
      <c r="AW1457" s="10"/>
      <c r="AX1457" s="10"/>
      <c r="AY1457" s="10"/>
      <c r="AZ1457" s="10"/>
      <c r="BA1457" s="10"/>
      <c r="BB1457" s="10"/>
      <c r="BC1457" s="10"/>
      <c r="BD1457" s="10"/>
      <c r="BE1457" s="10"/>
      <c r="BF1457" s="10"/>
      <c r="BG1457" s="10"/>
      <c r="BH1457" s="10"/>
      <c r="BI1457" s="10"/>
      <c r="BJ1457" s="10"/>
      <c r="BK1457" s="10"/>
      <c r="BL1457" s="10"/>
    </row>
    <row r="1458" spans="5:64" s="8" customFormat="1" x14ac:dyDescent="0.2">
      <c r="E1458" s="85"/>
      <c r="AR1458" s="10"/>
      <c r="AS1458" s="10"/>
      <c r="AT1458" s="10"/>
      <c r="AU1458" s="10"/>
      <c r="AV1458" s="10"/>
      <c r="AW1458" s="10"/>
      <c r="AX1458" s="10"/>
      <c r="AY1458" s="10"/>
      <c r="AZ1458" s="10"/>
      <c r="BA1458" s="10"/>
      <c r="BB1458" s="10"/>
      <c r="BC1458" s="10"/>
      <c r="BD1458" s="10"/>
      <c r="BE1458" s="10"/>
      <c r="BF1458" s="10"/>
      <c r="BG1458" s="10"/>
      <c r="BH1458" s="10"/>
      <c r="BI1458" s="10"/>
      <c r="BJ1458" s="10"/>
      <c r="BK1458" s="10"/>
      <c r="BL1458" s="10"/>
    </row>
    <row r="1459" spans="5:64" s="8" customFormat="1" x14ac:dyDescent="0.2">
      <c r="E1459" s="85"/>
      <c r="AR1459" s="10"/>
      <c r="AS1459" s="10"/>
      <c r="AT1459" s="10"/>
      <c r="AU1459" s="10"/>
      <c r="AV1459" s="10"/>
      <c r="AW1459" s="10"/>
      <c r="AX1459" s="10"/>
      <c r="AY1459" s="10"/>
      <c r="AZ1459" s="10"/>
      <c r="BA1459" s="10"/>
      <c r="BB1459" s="10"/>
      <c r="BC1459" s="10"/>
      <c r="BD1459" s="10"/>
      <c r="BE1459" s="10"/>
      <c r="BF1459" s="10"/>
      <c r="BG1459" s="10"/>
      <c r="BH1459" s="10"/>
      <c r="BI1459" s="10"/>
      <c r="BJ1459" s="10"/>
      <c r="BK1459" s="10"/>
      <c r="BL1459" s="10"/>
    </row>
    <row r="1460" spans="5:64" s="8" customFormat="1" x14ac:dyDescent="0.2">
      <c r="E1460" s="85"/>
      <c r="AR1460" s="10"/>
      <c r="AS1460" s="10"/>
      <c r="AT1460" s="10"/>
      <c r="AU1460" s="10"/>
      <c r="AV1460" s="10"/>
      <c r="AW1460" s="10"/>
      <c r="AX1460" s="10"/>
      <c r="AY1460" s="10"/>
      <c r="AZ1460" s="10"/>
      <c r="BA1460" s="10"/>
      <c r="BB1460" s="10"/>
      <c r="BC1460" s="10"/>
      <c r="BD1460" s="10"/>
      <c r="BE1460" s="10"/>
      <c r="BF1460" s="10"/>
      <c r="BG1460" s="10"/>
      <c r="BH1460" s="10"/>
      <c r="BI1460" s="10"/>
      <c r="BJ1460" s="10"/>
      <c r="BK1460" s="10"/>
      <c r="BL1460" s="10"/>
    </row>
    <row r="1461" spans="5:64" s="8" customFormat="1" x14ac:dyDescent="0.2">
      <c r="E1461" s="85"/>
      <c r="AR1461" s="10"/>
      <c r="AS1461" s="10"/>
      <c r="AT1461" s="10"/>
      <c r="AU1461" s="10"/>
      <c r="AV1461" s="10"/>
      <c r="AW1461" s="10"/>
      <c r="AX1461" s="10"/>
      <c r="AY1461" s="10"/>
      <c r="AZ1461" s="10"/>
      <c r="BA1461" s="10"/>
      <c r="BB1461" s="10"/>
      <c r="BC1461" s="10"/>
      <c r="BD1461" s="10"/>
      <c r="BE1461" s="10"/>
      <c r="BF1461" s="10"/>
      <c r="BG1461" s="10"/>
      <c r="BH1461" s="10"/>
      <c r="BI1461" s="10"/>
      <c r="BJ1461" s="10"/>
      <c r="BK1461" s="10"/>
      <c r="BL1461" s="10"/>
    </row>
    <row r="1462" spans="5:64" s="8" customFormat="1" x14ac:dyDescent="0.2">
      <c r="E1462" s="85"/>
      <c r="AR1462" s="10"/>
      <c r="AS1462" s="10"/>
      <c r="AT1462" s="10"/>
      <c r="AU1462" s="10"/>
      <c r="AV1462" s="10"/>
      <c r="AW1462" s="10"/>
      <c r="AX1462" s="10"/>
      <c r="AY1462" s="10"/>
      <c r="AZ1462" s="10"/>
      <c r="BA1462" s="10"/>
      <c r="BB1462" s="10"/>
      <c r="BC1462" s="10"/>
      <c r="BD1462" s="10"/>
      <c r="BE1462" s="10"/>
      <c r="BF1462" s="10"/>
      <c r="BG1462" s="10"/>
      <c r="BH1462" s="10"/>
      <c r="BI1462" s="10"/>
      <c r="BJ1462" s="10"/>
      <c r="BK1462" s="10"/>
      <c r="BL1462" s="10"/>
    </row>
    <row r="1463" spans="5:64" s="8" customFormat="1" x14ac:dyDescent="0.2">
      <c r="E1463" s="85"/>
      <c r="AR1463" s="10"/>
      <c r="AS1463" s="10"/>
      <c r="AT1463" s="10"/>
      <c r="AU1463" s="10"/>
      <c r="AV1463" s="10"/>
      <c r="AW1463" s="10"/>
      <c r="AX1463" s="10"/>
      <c r="AY1463" s="10"/>
      <c r="AZ1463" s="10"/>
      <c r="BA1463" s="10"/>
      <c r="BB1463" s="10"/>
      <c r="BC1463" s="10"/>
      <c r="BD1463" s="10"/>
      <c r="BE1463" s="10"/>
      <c r="BF1463" s="10"/>
      <c r="BG1463" s="10"/>
      <c r="BH1463" s="10"/>
      <c r="BI1463" s="10"/>
      <c r="BJ1463" s="10"/>
      <c r="BK1463" s="10"/>
      <c r="BL1463" s="10"/>
    </row>
    <row r="1464" spans="5:64" s="8" customFormat="1" x14ac:dyDescent="0.2">
      <c r="E1464" s="85"/>
      <c r="AR1464" s="10"/>
      <c r="AS1464" s="10"/>
      <c r="AT1464" s="10"/>
      <c r="AU1464" s="10"/>
      <c r="AV1464" s="10"/>
      <c r="AW1464" s="10"/>
      <c r="AX1464" s="10"/>
      <c r="AY1464" s="10"/>
      <c r="AZ1464" s="10"/>
      <c r="BA1464" s="10"/>
      <c r="BB1464" s="10"/>
      <c r="BC1464" s="10"/>
      <c r="BD1464" s="10"/>
      <c r="BE1464" s="10"/>
      <c r="BF1464" s="10"/>
      <c r="BG1464" s="10"/>
      <c r="BH1464" s="10"/>
      <c r="BI1464" s="10"/>
      <c r="BJ1464" s="10"/>
      <c r="BK1464" s="10"/>
      <c r="BL1464" s="10"/>
    </row>
    <row r="1465" spans="5:64" s="8" customFormat="1" x14ac:dyDescent="0.2">
      <c r="E1465" s="85"/>
      <c r="AR1465" s="10"/>
      <c r="AS1465" s="10"/>
      <c r="AT1465" s="10"/>
      <c r="AU1465" s="10"/>
      <c r="AV1465" s="10"/>
      <c r="AW1465" s="10"/>
      <c r="AX1465" s="10"/>
      <c r="AY1465" s="10"/>
      <c r="AZ1465" s="10"/>
      <c r="BA1465" s="10"/>
      <c r="BB1465" s="10"/>
      <c r="BC1465" s="10"/>
      <c r="BD1465" s="10"/>
      <c r="BE1465" s="10"/>
      <c r="BF1465" s="10"/>
      <c r="BG1465" s="10"/>
      <c r="BH1465" s="10"/>
      <c r="BI1465" s="10"/>
      <c r="BJ1465" s="10"/>
      <c r="BK1465" s="10"/>
      <c r="BL1465" s="10"/>
    </row>
    <row r="1466" spans="5:64" s="8" customFormat="1" x14ac:dyDescent="0.2">
      <c r="E1466" s="85"/>
      <c r="AR1466" s="10"/>
      <c r="AS1466" s="10"/>
      <c r="AT1466" s="10"/>
      <c r="AU1466" s="10"/>
      <c r="AV1466" s="10"/>
      <c r="AW1466" s="10"/>
      <c r="AX1466" s="10"/>
      <c r="AY1466" s="10"/>
      <c r="AZ1466" s="10"/>
      <c r="BA1466" s="10"/>
      <c r="BB1466" s="10"/>
      <c r="BC1466" s="10"/>
      <c r="BD1466" s="10"/>
      <c r="BE1466" s="10"/>
      <c r="BF1466" s="10"/>
      <c r="BG1466" s="10"/>
      <c r="BH1466" s="10"/>
      <c r="BI1466" s="10"/>
      <c r="BJ1466" s="10"/>
      <c r="BK1466" s="10"/>
      <c r="BL1466" s="10"/>
    </row>
    <row r="1467" spans="5:64" s="8" customFormat="1" x14ac:dyDescent="0.2">
      <c r="E1467" s="85"/>
      <c r="AR1467" s="10"/>
      <c r="AS1467" s="10"/>
      <c r="AT1467" s="10"/>
      <c r="AU1467" s="10"/>
      <c r="AV1467" s="10"/>
      <c r="AW1467" s="10"/>
      <c r="AX1467" s="10"/>
      <c r="AY1467" s="10"/>
      <c r="AZ1467" s="10"/>
      <c r="BA1467" s="10"/>
      <c r="BB1467" s="10"/>
      <c r="BC1467" s="10"/>
      <c r="BD1467" s="10"/>
      <c r="BE1467" s="10"/>
      <c r="BF1467" s="10"/>
      <c r="BG1467" s="10"/>
      <c r="BH1467" s="10"/>
      <c r="BI1467" s="10"/>
      <c r="BJ1467" s="10"/>
      <c r="BK1467" s="10"/>
      <c r="BL1467" s="10"/>
    </row>
    <row r="1468" spans="5:64" s="8" customFormat="1" x14ac:dyDescent="0.2">
      <c r="E1468" s="85"/>
      <c r="AR1468" s="10"/>
      <c r="AS1468" s="10"/>
      <c r="AT1468" s="10"/>
      <c r="AU1468" s="10"/>
      <c r="AV1468" s="10"/>
      <c r="AW1468" s="10"/>
      <c r="AX1468" s="10"/>
      <c r="AY1468" s="10"/>
      <c r="AZ1468" s="10"/>
      <c r="BA1468" s="10"/>
      <c r="BB1468" s="10"/>
      <c r="BC1468" s="10"/>
      <c r="BD1468" s="10"/>
      <c r="BE1468" s="10"/>
      <c r="BF1468" s="10"/>
      <c r="BG1468" s="10"/>
      <c r="BH1468" s="10"/>
      <c r="BI1468" s="10"/>
      <c r="BJ1468" s="10"/>
      <c r="BK1468" s="10"/>
      <c r="BL1468" s="10"/>
    </row>
    <row r="1469" spans="5:64" s="8" customFormat="1" x14ac:dyDescent="0.2">
      <c r="E1469" s="85"/>
      <c r="AR1469" s="10"/>
      <c r="AS1469" s="10"/>
      <c r="AT1469" s="10"/>
      <c r="AU1469" s="10"/>
      <c r="AV1469" s="10"/>
      <c r="AW1469" s="10"/>
      <c r="AX1469" s="10"/>
      <c r="AY1469" s="10"/>
      <c r="AZ1469" s="10"/>
      <c r="BA1469" s="10"/>
      <c r="BB1469" s="10"/>
      <c r="BC1469" s="10"/>
      <c r="BD1469" s="10"/>
      <c r="BE1469" s="10"/>
      <c r="BF1469" s="10"/>
      <c r="BG1469" s="10"/>
      <c r="BH1469" s="10"/>
      <c r="BI1469" s="10"/>
      <c r="BJ1469" s="10"/>
      <c r="BK1469" s="10"/>
      <c r="BL1469" s="10"/>
    </row>
    <row r="1470" spans="5:64" s="8" customFormat="1" x14ac:dyDescent="0.2">
      <c r="E1470" s="85"/>
      <c r="AR1470" s="10"/>
      <c r="AS1470" s="10"/>
      <c r="AT1470" s="10"/>
      <c r="AU1470" s="10"/>
      <c r="AV1470" s="10"/>
      <c r="AW1470" s="10"/>
      <c r="AX1470" s="10"/>
      <c r="AY1470" s="10"/>
      <c r="AZ1470" s="10"/>
      <c r="BA1470" s="10"/>
      <c r="BB1470" s="10"/>
      <c r="BC1470" s="10"/>
      <c r="BD1470" s="10"/>
      <c r="BE1470" s="10"/>
      <c r="BF1470" s="10"/>
      <c r="BG1470" s="10"/>
      <c r="BH1470" s="10"/>
      <c r="BI1470" s="10"/>
      <c r="BJ1470" s="10"/>
      <c r="BK1470" s="10"/>
      <c r="BL1470" s="10"/>
    </row>
    <row r="1471" spans="5:64" s="8" customFormat="1" x14ac:dyDescent="0.2">
      <c r="E1471" s="85"/>
      <c r="AR1471" s="10"/>
      <c r="AS1471" s="10"/>
      <c r="AT1471" s="10"/>
      <c r="AU1471" s="10"/>
      <c r="AV1471" s="10"/>
      <c r="AW1471" s="10"/>
      <c r="AX1471" s="10"/>
      <c r="AY1471" s="10"/>
      <c r="AZ1471" s="10"/>
      <c r="BA1471" s="10"/>
      <c r="BB1471" s="10"/>
      <c r="BC1471" s="10"/>
      <c r="BD1471" s="10"/>
      <c r="BE1471" s="10"/>
      <c r="BF1471" s="10"/>
      <c r="BG1471" s="10"/>
      <c r="BH1471" s="10"/>
      <c r="BI1471" s="10"/>
      <c r="BJ1471" s="10"/>
      <c r="BK1471" s="10"/>
      <c r="BL1471" s="10"/>
    </row>
    <row r="1472" spans="5:64" s="8" customFormat="1" x14ac:dyDescent="0.2">
      <c r="E1472" s="85"/>
      <c r="AR1472" s="10"/>
      <c r="AS1472" s="10"/>
      <c r="AT1472" s="10"/>
      <c r="AU1472" s="10"/>
      <c r="AV1472" s="10"/>
      <c r="AW1472" s="10"/>
      <c r="AX1472" s="10"/>
      <c r="AY1472" s="10"/>
      <c r="AZ1472" s="10"/>
      <c r="BA1472" s="10"/>
      <c r="BB1472" s="10"/>
      <c r="BC1472" s="10"/>
      <c r="BD1472" s="10"/>
      <c r="BE1472" s="10"/>
      <c r="BF1472" s="10"/>
      <c r="BG1472" s="10"/>
      <c r="BH1472" s="10"/>
      <c r="BI1472" s="10"/>
      <c r="BJ1472" s="10"/>
      <c r="BK1472" s="10"/>
      <c r="BL1472" s="10"/>
    </row>
    <row r="1473" spans="5:64" s="8" customFormat="1" x14ac:dyDescent="0.2">
      <c r="E1473" s="85"/>
      <c r="AR1473" s="10"/>
      <c r="AS1473" s="10"/>
      <c r="AT1473" s="10"/>
      <c r="AU1473" s="10"/>
      <c r="AV1473" s="10"/>
      <c r="AW1473" s="10"/>
      <c r="AX1473" s="10"/>
      <c r="AY1473" s="10"/>
      <c r="AZ1473" s="10"/>
      <c r="BA1473" s="10"/>
      <c r="BB1473" s="10"/>
      <c r="BC1473" s="10"/>
      <c r="BD1473" s="10"/>
      <c r="BE1473" s="10"/>
      <c r="BF1473" s="10"/>
      <c r="BG1473" s="10"/>
      <c r="BH1473" s="10"/>
      <c r="BI1473" s="10"/>
      <c r="BJ1473" s="10"/>
      <c r="BK1473" s="10"/>
      <c r="BL1473" s="10"/>
    </row>
    <row r="1474" spans="5:64" s="8" customFormat="1" x14ac:dyDescent="0.2">
      <c r="E1474" s="85"/>
      <c r="AR1474" s="10"/>
      <c r="AS1474" s="10"/>
      <c r="AT1474" s="10"/>
      <c r="AU1474" s="10"/>
      <c r="AV1474" s="10"/>
      <c r="AW1474" s="10"/>
      <c r="AX1474" s="10"/>
      <c r="AY1474" s="10"/>
      <c r="AZ1474" s="10"/>
      <c r="BA1474" s="10"/>
      <c r="BB1474" s="10"/>
      <c r="BC1474" s="10"/>
      <c r="BD1474" s="10"/>
      <c r="BE1474" s="10"/>
      <c r="BF1474" s="10"/>
      <c r="BG1474" s="10"/>
      <c r="BH1474" s="10"/>
      <c r="BI1474" s="10"/>
      <c r="BJ1474" s="10"/>
      <c r="BK1474" s="10"/>
      <c r="BL1474" s="10"/>
    </row>
    <row r="1475" spans="5:64" s="8" customFormat="1" x14ac:dyDescent="0.2">
      <c r="E1475" s="85"/>
      <c r="AR1475" s="10"/>
      <c r="AS1475" s="10"/>
      <c r="AT1475" s="10"/>
      <c r="AU1475" s="10"/>
      <c r="AV1475" s="10"/>
      <c r="AW1475" s="10"/>
      <c r="AX1475" s="10"/>
      <c r="AY1475" s="10"/>
      <c r="AZ1475" s="10"/>
      <c r="BA1475" s="10"/>
      <c r="BB1475" s="10"/>
      <c r="BC1475" s="10"/>
      <c r="BD1475" s="10"/>
      <c r="BE1475" s="10"/>
      <c r="BF1475" s="10"/>
      <c r="BG1475" s="10"/>
      <c r="BH1475" s="10"/>
      <c r="BI1475" s="10"/>
      <c r="BJ1475" s="10"/>
      <c r="BK1475" s="10"/>
      <c r="BL1475" s="10"/>
    </row>
    <row r="1476" spans="5:64" s="8" customFormat="1" x14ac:dyDescent="0.2">
      <c r="E1476" s="85"/>
      <c r="AR1476" s="10"/>
      <c r="AS1476" s="10"/>
      <c r="AT1476" s="10"/>
      <c r="AU1476" s="10"/>
      <c r="AV1476" s="10"/>
      <c r="AW1476" s="10"/>
      <c r="AX1476" s="10"/>
      <c r="AY1476" s="10"/>
      <c r="AZ1476" s="10"/>
      <c r="BA1476" s="10"/>
      <c r="BB1476" s="10"/>
      <c r="BC1476" s="10"/>
      <c r="BD1476" s="10"/>
      <c r="BE1476" s="10"/>
      <c r="BF1476" s="10"/>
      <c r="BG1476" s="10"/>
      <c r="BH1476" s="10"/>
      <c r="BI1476" s="10"/>
      <c r="BJ1476" s="10"/>
      <c r="BK1476" s="10"/>
      <c r="BL1476" s="10"/>
    </row>
    <row r="1477" spans="5:64" s="8" customFormat="1" x14ac:dyDescent="0.2">
      <c r="E1477" s="85"/>
      <c r="AR1477" s="10"/>
      <c r="AS1477" s="10"/>
      <c r="AT1477" s="10"/>
      <c r="AU1477" s="10"/>
      <c r="AV1477" s="10"/>
      <c r="AW1477" s="10"/>
      <c r="AX1477" s="10"/>
      <c r="AY1477" s="10"/>
      <c r="AZ1477" s="10"/>
      <c r="BA1477" s="10"/>
      <c r="BB1477" s="10"/>
      <c r="BC1477" s="10"/>
      <c r="BD1477" s="10"/>
      <c r="BE1477" s="10"/>
      <c r="BF1477" s="10"/>
      <c r="BG1477" s="10"/>
      <c r="BH1477" s="10"/>
      <c r="BI1477" s="10"/>
      <c r="BJ1477" s="10"/>
      <c r="BK1477" s="10"/>
      <c r="BL1477" s="10"/>
    </row>
    <row r="1478" spans="5:64" s="8" customFormat="1" x14ac:dyDescent="0.2">
      <c r="E1478" s="85"/>
      <c r="AR1478" s="10"/>
      <c r="AS1478" s="10"/>
      <c r="AT1478" s="10"/>
      <c r="AU1478" s="10"/>
      <c r="AV1478" s="10"/>
      <c r="AW1478" s="10"/>
      <c r="AX1478" s="10"/>
      <c r="AY1478" s="10"/>
      <c r="AZ1478" s="10"/>
      <c r="BA1478" s="10"/>
      <c r="BB1478" s="10"/>
      <c r="BC1478" s="10"/>
      <c r="BD1478" s="10"/>
      <c r="BE1478" s="10"/>
      <c r="BF1478" s="10"/>
      <c r="BG1478" s="10"/>
      <c r="BH1478" s="10"/>
      <c r="BI1478" s="10"/>
      <c r="BJ1478" s="10"/>
      <c r="BK1478" s="10"/>
      <c r="BL1478" s="10"/>
    </row>
    <row r="1479" spans="5:64" s="8" customFormat="1" x14ac:dyDescent="0.2">
      <c r="E1479" s="85"/>
      <c r="AR1479" s="10"/>
      <c r="AS1479" s="10"/>
      <c r="AT1479" s="10"/>
      <c r="AU1479" s="10"/>
      <c r="AV1479" s="10"/>
      <c r="AW1479" s="10"/>
      <c r="AX1479" s="10"/>
      <c r="AY1479" s="10"/>
      <c r="AZ1479" s="10"/>
      <c r="BA1479" s="10"/>
      <c r="BB1479" s="10"/>
      <c r="BC1479" s="10"/>
      <c r="BD1479" s="10"/>
      <c r="BE1479" s="10"/>
      <c r="BF1479" s="10"/>
      <c r="BG1479" s="10"/>
      <c r="BH1479" s="10"/>
      <c r="BI1479" s="10"/>
      <c r="BJ1479" s="10"/>
      <c r="BK1479" s="10"/>
      <c r="BL1479" s="10"/>
    </row>
    <row r="1480" spans="5:64" s="8" customFormat="1" x14ac:dyDescent="0.2">
      <c r="E1480" s="85"/>
      <c r="AR1480" s="10"/>
      <c r="AS1480" s="10"/>
      <c r="AT1480" s="10"/>
      <c r="AU1480" s="10"/>
      <c r="AV1480" s="10"/>
      <c r="AW1480" s="10"/>
      <c r="AX1480" s="10"/>
      <c r="AY1480" s="10"/>
      <c r="AZ1480" s="10"/>
      <c r="BA1480" s="10"/>
      <c r="BB1480" s="10"/>
      <c r="BC1480" s="10"/>
      <c r="BD1480" s="10"/>
      <c r="BE1480" s="10"/>
      <c r="BF1480" s="10"/>
      <c r="BG1480" s="10"/>
      <c r="BH1480" s="10"/>
      <c r="BI1480" s="10"/>
      <c r="BJ1480" s="10"/>
      <c r="BK1480" s="10"/>
      <c r="BL1480" s="10"/>
    </row>
    <row r="1481" spans="5:64" s="8" customFormat="1" x14ac:dyDescent="0.2">
      <c r="E1481" s="85"/>
      <c r="AR1481" s="10"/>
      <c r="AS1481" s="10"/>
      <c r="AT1481" s="10"/>
      <c r="AU1481" s="10"/>
      <c r="AV1481" s="10"/>
      <c r="AW1481" s="10"/>
      <c r="AX1481" s="10"/>
      <c r="AY1481" s="10"/>
      <c r="AZ1481" s="10"/>
      <c r="BA1481" s="10"/>
      <c r="BB1481" s="10"/>
      <c r="BC1481" s="10"/>
      <c r="BD1481" s="10"/>
      <c r="BE1481" s="10"/>
      <c r="BF1481" s="10"/>
      <c r="BG1481" s="10"/>
      <c r="BH1481" s="10"/>
      <c r="BI1481" s="10"/>
      <c r="BJ1481" s="10"/>
      <c r="BK1481" s="10"/>
      <c r="BL1481" s="10"/>
    </row>
    <row r="1482" spans="5:64" s="8" customFormat="1" x14ac:dyDescent="0.2">
      <c r="E1482" s="85"/>
      <c r="AR1482" s="10"/>
      <c r="AS1482" s="10"/>
      <c r="AT1482" s="10"/>
      <c r="AU1482" s="10"/>
      <c r="AV1482" s="10"/>
      <c r="AW1482" s="10"/>
      <c r="AX1482" s="10"/>
      <c r="AY1482" s="10"/>
      <c r="AZ1482" s="10"/>
      <c r="BA1482" s="10"/>
      <c r="BB1482" s="10"/>
      <c r="BC1482" s="10"/>
      <c r="BD1482" s="10"/>
      <c r="BE1482" s="10"/>
      <c r="BF1482" s="10"/>
      <c r="BG1482" s="10"/>
      <c r="BH1482" s="10"/>
      <c r="BI1482" s="10"/>
      <c r="BJ1482" s="10"/>
      <c r="BK1482" s="10"/>
      <c r="BL1482" s="10"/>
    </row>
    <row r="1483" spans="5:64" s="8" customFormat="1" x14ac:dyDescent="0.2">
      <c r="E1483" s="85"/>
      <c r="AR1483" s="10"/>
      <c r="AS1483" s="10"/>
      <c r="AT1483" s="10"/>
      <c r="AU1483" s="10"/>
      <c r="AV1483" s="10"/>
      <c r="AW1483" s="10"/>
      <c r="AX1483" s="10"/>
      <c r="AY1483" s="10"/>
      <c r="AZ1483" s="10"/>
      <c r="BA1483" s="10"/>
      <c r="BB1483" s="10"/>
      <c r="BC1483" s="10"/>
      <c r="BD1483" s="10"/>
      <c r="BE1483" s="10"/>
      <c r="BF1483" s="10"/>
      <c r="BG1483" s="10"/>
      <c r="BH1483" s="10"/>
      <c r="BI1483" s="10"/>
      <c r="BJ1483" s="10"/>
      <c r="BK1483" s="10"/>
      <c r="BL1483" s="10"/>
    </row>
    <row r="1484" spans="5:64" s="8" customFormat="1" x14ac:dyDescent="0.2">
      <c r="E1484" s="85"/>
      <c r="AR1484" s="10"/>
      <c r="AS1484" s="10"/>
      <c r="AT1484" s="10"/>
      <c r="AU1484" s="10"/>
      <c r="AV1484" s="10"/>
      <c r="AW1484" s="10"/>
      <c r="AX1484" s="10"/>
      <c r="AY1484" s="10"/>
      <c r="AZ1484" s="10"/>
      <c r="BA1484" s="10"/>
      <c r="BB1484" s="10"/>
      <c r="BC1484" s="10"/>
      <c r="BD1484" s="10"/>
      <c r="BE1484" s="10"/>
      <c r="BF1484" s="10"/>
      <c r="BG1484" s="10"/>
      <c r="BH1484" s="10"/>
      <c r="BI1484" s="10"/>
      <c r="BJ1484" s="10"/>
      <c r="BK1484" s="10"/>
      <c r="BL1484" s="10"/>
    </row>
    <row r="1485" spans="5:64" s="8" customFormat="1" x14ac:dyDescent="0.2">
      <c r="E1485" s="85"/>
      <c r="AR1485" s="10"/>
      <c r="AS1485" s="10"/>
      <c r="AT1485" s="10"/>
      <c r="AU1485" s="10"/>
      <c r="AV1485" s="10"/>
      <c r="AW1485" s="10"/>
      <c r="AX1485" s="10"/>
      <c r="AY1485" s="10"/>
      <c r="AZ1485" s="10"/>
      <c r="BA1485" s="10"/>
      <c r="BB1485" s="10"/>
      <c r="BC1485" s="10"/>
      <c r="BD1485" s="10"/>
      <c r="BE1485" s="10"/>
      <c r="BF1485" s="10"/>
      <c r="BG1485" s="10"/>
      <c r="BH1485" s="10"/>
      <c r="BI1485" s="10"/>
      <c r="BJ1485" s="10"/>
      <c r="BK1485" s="10"/>
      <c r="BL1485" s="10"/>
    </row>
    <row r="1486" spans="5:64" s="8" customFormat="1" x14ac:dyDescent="0.2">
      <c r="E1486" s="85"/>
      <c r="AR1486" s="10"/>
      <c r="AS1486" s="10"/>
      <c r="AT1486" s="10"/>
      <c r="AU1486" s="10"/>
      <c r="AV1486" s="10"/>
      <c r="AW1486" s="10"/>
      <c r="AX1486" s="10"/>
      <c r="AY1486" s="10"/>
      <c r="AZ1486" s="10"/>
      <c r="BA1486" s="10"/>
      <c r="BB1486" s="10"/>
      <c r="BC1486" s="10"/>
      <c r="BD1486" s="10"/>
      <c r="BE1486" s="10"/>
      <c r="BF1486" s="10"/>
      <c r="BG1486" s="10"/>
      <c r="BH1486" s="10"/>
      <c r="BI1486" s="10"/>
      <c r="BJ1486" s="10"/>
      <c r="BK1486" s="10"/>
      <c r="BL1486" s="10"/>
    </row>
    <row r="1487" spans="5:64" s="8" customFormat="1" x14ac:dyDescent="0.2">
      <c r="E1487" s="85"/>
      <c r="AR1487" s="10"/>
      <c r="AS1487" s="10"/>
      <c r="AT1487" s="10"/>
      <c r="AU1487" s="10"/>
      <c r="AV1487" s="10"/>
      <c r="AW1487" s="10"/>
      <c r="AX1487" s="10"/>
      <c r="AY1487" s="10"/>
      <c r="AZ1487" s="10"/>
      <c r="BA1487" s="10"/>
      <c r="BB1487" s="10"/>
      <c r="BC1487" s="10"/>
      <c r="BD1487" s="10"/>
      <c r="BE1487" s="10"/>
      <c r="BF1487" s="10"/>
      <c r="BG1487" s="10"/>
      <c r="BH1487" s="10"/>
      <c r="BI1487" s="10"/>
      <c r="BJ1487" s="10"/>
      <c r="BK1487" s="10"/>
      <c r="BL1487" s="10"/>
    </row>
    <row r="1488" spans="5:64" s="8" customFormat="1" x14ac:dyDescent="0.2">
      <c r="E1488" s="85"/>
      <c r="AR1488" s="10"/>
      <c r="AS1488" s="10"/>
      <c r="AT1488" s="10"/>
      <c r="AU1488" s="10"/>
      <c r="AV1488" s="10"/>
      <c r="AW1488" s="10"/>
      <c r="AX1488" s="10"/>
      <c r="AY1488" s="10"/>
      <c r="AZ1488" s="10"/>
      <c r="BA1488" s="10"/>
      <c r="BB1488" s="10"/>
      <c r="BC1488" s="10"/>
      <c r="BD1488" s="10"/>
      <c r="BE1488" s="10"/>
      <c r="BF1488" s="10"/>
      <c r="BG1488" s="10"/>
      <c r="BH1488" s="10"/>
      <c r="BI1488" s="10"/>
      <c r="BJ1488" s="10"/>
      <c r="BK1488" s="10"/>
      <c r="BL1488" s="10"/>
    </row>
    <row r="1489" spans="5:64" s="8" customFormat="1" x14ac:dyDescent="0.2">
      <c r="E1489" s="85"/>
      <c r="AR1489" s="10"/>
      <c r="AS1489" s="10"/>
      <c r="AT1489" s="10"/>
      <c r="AU1489" s="10"/>
      <c r="AV1489" s="10"/>
      <c r="AW1489" s="10"/>
      <c r="AX1489" s="10"/>
      <c r="AY1489" s="10"/>
      <c r="AZ1489" s="10"/>
      <c r="BA1489" s="10"/>
      <c r="BB1489" s="10"/>
      <c r="BC1489" s="10"/>
      <c r="BD1489" s="10"/>
      <c r="BE1489" s="10"/>
      <c r="BF1489" s="10"/>
      <c r="BG1489" s="10"/>
      <c r="BH1489" s="10"/>
      <c r="BI1489" s="10"/>
      <c r="BJ1489" s="10"/>
      <c r="BK1489" s="10"/>
      <c r="BL1489" s="10"/>
    </row>
    <row r="1490" spans="5:64" s="8" customFormat="1" x14ac:dyDescent="0.2">
      <c r="E1490" s="85"/>
      <c r="AR1490" s="10"/>
      <c r="AS1490" s="10"/>
      <c r="AT1490" s="10"/>
      <c r="AU1490" s="10"/>
      <c r="AV1490" s="10"/>
      <c r="AW1490" s="10"/>
      <c r="AX1490" s="10"/>
      <c r="AY1490" s="10"/>
      <c r="AZ1490" s="10"/>
      <c r="BA1490" s="10"/>
      <c r="BB1490" s="10"/>
      <c r="BC1490" s="10"/>
      <c r="BD1490" s="10"/>
      <c r="BE1490" s="10"/>
      <c r="BF1490" s="10"/>
      <c r="BG1490" s="10"/>
      <c r="BH1490" s="10"/>
      <c r="BI1490" s="10"/>
      <c r="BJ1490" s="10"/>
      <c r="BK1490" s="10"/>
      <c r="BL1490" s="10"/>
    </row>
    <row r="1491" spans="5:64" s="8" customFormat="1" x14ac:dyDescent="0.2">
      <c r="E1491" s="85"/>
      <c r="AR1491" s="10"/>
      <c r="AS1491" s="10"/>
      <c r="AT1491" s="10"/>
      <c r="AU1491" s="10"/>
      <c r="AV1491" s="10"/>
      <c r="AW1491" s="10"/>
      <c r="AX1491" s="10"/>
      <c r="AY1491" s="10"/>
      <c r="AZ1491" s="10"/>
      <c r="BA1491" s="10"/>
      <c r="BB1491" s="10"/>
      <c r="BC1491" s="10"/>
      <c r="BD1491" s="10"/>
      <c r="BE1491" s="10"/>
      <c r="BF1491" s="10"/>
      <c r="BG1491" s="10"/>
      <c r="BH1491" s="10"/>
      <c r="BI1491" s="10"/>
      <c r="BJ1491" s="10"/>
      <c r="BK1491" s="10"/>
      <c r="BL1491" s="10"/>
    </row>
    <row r="1492" spans="5:64" s="8" customFormat="1" x14ac:dyDescent="0.2">
      <c r="E1492" s="85"/>
      <c r="AR1492" s="10"/>
      <c r="AS1492" s="10"/>
      <c r="AT1492" s="10"/>
      <c r="AU1492" s="10"/>
      <c r="AV1492" s="10"/>
      <c r="AW1492" s="10"/>
      <c r="AX1492" s="10"/>
      <c r="AY1492" s="10"/>
      <c r="AZ1492" s="10"/>
      <c r="BA1492" s="10"/>
      <c r="BB1492" s="10"/>
      <c r="BC1492" s="10"/>
      <c r="BD1492" s="10"/>
      <c r="BE1492" s="10"/>
      <c r="BF1492" s="10"/>
      <c r="BG1492" s="10"/>
      <c r="BH1492" s="10"/>
      <c r="BI1492" s="10"/>
      <c r="BJ1492" s="10"/>
      <c r="BK1492" s="10"/>
      <c r="BL1492" s="10"/>
    </row>
    <row r="1493" spans="5:64" s="8" customFormat="1" x14ac:dyDescent="0.2">
      <c r="E1493" s="85"/>
      <c r="AR1493" s="10"/>
      <c r="AS1493" s="10"/>
      <c r="AT1493" s="10"/>
      <c r="AU1493" s="10"/>
      <c r="AV1493" s="10"/>
      <c r="AW1493" s="10"/>
      <c r="AX1493" s="10"/>
      <c r="AY1493" s="10"/>
      <c r="AZ1493" s="10"/>
      <c r="BA1493" s="10"/>
      <c r="BB1493" s="10"/>
      <c r="BC1493" s="10"/>
      <c r="BD1493" s="10"/>
      <c r="BE1493" s="10"/>
      <c r="BF1493" s="10"/>
      <c r="BG1493" s="10"/>
      <c r="BH1493" s="10"/>
      <c r="BI1493" s="10"/>
      <c r="BJ1493" s="10"/>
      <c r="BK1493" s="10"/>
      <c r="BL1493" s="10"/>
    </row>
    <row r="1494" spans="5:64" s="8" customFormat="1" x14ac:dyDescent="0.2">
      <c r="E1494" s="85"/>
      <c r="AR1494" s="10"/>
      <c r="AS1494" s="10"/>
      <c r="AT1494" s="10"/>
      <c r="AU1494" s="10"/>
      <c r="AV1494" s="10"/>
      <c r="AW1494" s="10"/>
      <c r="AX1494" s="10"/>
      <c r="AY1494" s="10"/>
      <c r="AZ1494" s="10"/>
      <c r="BA1494" s="10"/>
      <c r="BB1494" s="10"/>
      <c r="BC1494" s="10"/>
      <c r="BD1494" s="10"/>
      <c r="BE1494" s="10"/>
      <c r="BF1494" s="10"/>
      <c r="BG1494" s="10"/>
      <c r="BH1494" s="10"/>
      <c r="BI1494" s="10"/>
      <c r="BJ1494" s="10"/>
      <c r="BK1494" s="10"/>
      <c r="BL1494" s="10"/>
    </row>
    <row r="1495" spans="5:64" s="8" customFormat="1" x14ac:dyDescent="0.2">
      <c r="E1495" s="85"/>
      <c r="AR1495" s="10"/>
      <c r="AS1495" s="10"/>
      <c r="AT1495" s="10"/>
      <c r="AU1495" s="10"/>
      <c r="AV1495" s="10"/>
      <c r="AW1495" s="10"/>
      <c r="AX1495" s="10"/>
      <c r="AY1495" s="10"/>
      <c r="AZ1495" s="10"/>
      <c r="BA1495" s="10"/>
      <c r="BB1495" s="10"/>
      <c r="BC1495" s="10"/>
      <c r="BD1495" s="10"/>
      <c r="BE1495" s="10"/>
      <c r="BF1495" s="10"/>
      <c r="BG1495" s="10"/>
      <c r="BH1495" s="10"/>
      <c r="BI1495" s="10"/>
      <c r="BJ1495" s="10"/>
      <c r="BK1495" s="10"/>
      <c r="BL1495" s="10"/>
    </row>
    <row r="1496" spans="5:64" s="8" customFormat="1" x14ac:dyDescent="0.2">
      <c r="E1496" s="85"/>
      <c r="AR1496" s="10"/>
      <c r="AS1496" s="10"/>
      <c r="AT1496" s="10"/>
      <c r="AU1496" s="10"/>
      <c r="AV1496" s="10"/>
      <c r="AW1496" s="10"/>
      <c r="AX1496" s="10"/>
      <c r="AY1496" s="10"/>
      <c r="AZ1496" s="10"/>
      <c r="BA1496" s="10"/>
      <c r="BB1496" s="10"/>
      <c r="BC1496" s="10"/>
      <c r="BD1496" s="10"/>
      <c r="BE1496" s="10"/>
      <c r="BF1496" s="10"/>
      <c r="BG1496" s="10"/>
      <c r="BH1496" s="10"/>
      <c r="BI1496" s="10"/>
      <c r="BJ1496" s="10"/>
      <c r="BK1496" s="10"/>
      <c r="BL1496" s="10"/>
    </row>
    <row r="1497" spans="5:64" s="8" customFormat="1" x14ac:dyDescent="0.2">
      <c r="E1497" s="85"/>
      <c r="AR1497" s="10"/>
      <c r="AS1497" s="10"/>
      <c r="AT1497" s="10"/>
      <c r="AU1497" s="10"/>
      <c r="AV1497" s="10"/>
      <c r="AW1497" s="10"/>
      <c r="AX1497" s="10"/>
      <c r="AY1497" s="10"/>
      <c r="AZ1497" s="10"/>
      <c r="BA1497" s="10"/>
      <c r="BB1497" s="10"/>
      <c r="BC1497" s="10"/>
      <c r="BD1497" s="10"/>
      <c r="BE1497" s="10"/>
      <c r="BF1497" s="10"/>
      <c r="BG1497" s="10"/>
      <c r="BH1497" s="10"/>
      <c r="BI1497" s="10"/>
      <c r="BJ1497" s="10"/>
      <c r="BK1497" s="10"/>
      <c r="BL1497" s="10"/>
    </row>
    <row r="1498" spans="5:64" s="8" customFormat="1" x14ac:dyDescent="0.2">
      <c r="E1498" s="85"/>
      <c r="AR1498" s="10"/>
      <c r="AS1498" s="10"/>
      <c r="AT1498" s="10"/>
      <c r="AU1498" s="10"/>
      <c r="AV1498" s="10"/>
      <c r="AW1498" s="10"/>
      <c r="AX1498" s="10"/>
      <c r="AY1498" s="10"/>
      <c r="AZ1498" s="10"/>
      <c r="BA1498" s="10"/>
      <c r="BB1498" s="10"/>
      <c r="BC1498" s="10"/>
      <c r="BD1498" s="10"/>
      <c r="BE1498" s="10"/>
      <c r="BF1498" s="10"/>
      <c r="BG1498" s="10"/>
      <c r="BH1498" s="10"/>
      <c r="BI1498" s="10"/>
      <c r="BJ1498" s="10"/>
      <c r="BK1498" s="10"/>
      <c r="BL1498" s="10"/>
    </row>
    <row r="1499" spans="5:64" s="8" customFormat="1" x14ac:dyDescent="0.2">
      <c r="E1499" s="85"/>
      <c r="AR1499" s="10"/>
      <c r="AS1499" s="10"/>
      <c r="AT1499" s="10"/>
      <c r="AU1499" s="10"/>
      <c r="AV1499" s="10"/>
      <c r="AW1499" s="10"/>
      <c r="AX1499" s="10"/>
      <c r="AY1499" s="10"/>
      <c r="AZ1499" s="10"/>
      <c r="BA1499" s="10"/>
      <c r="BB1499" s="10"/>
      <c r="BC1499" s="10"/>
      <c r="BD1499" s="10"/>
      <c r="BE1499" s="10"/>
      <c r="BF1499" s="10"/>
      <c r="BG1499" s="10"/>
      <c r="BH1499" s="10"/>
      <c r="BI1499" s="10"/>
      <c r="BJ1499" s="10"/>
      <c r="BK1499" s="10"/>
      <c r="BL1499" s="10"/>
    </row>
    <row r="1500" spans="5:64" s="8" customFormat="1" x14ac:dyDescent="0.2">
      <c r="E1500" s="85"/>
      <c r="AR1500" s="10"/>
      <c r="AS1500" s="10"/>
      <c r="AT1500" s="10"/>
      <c r="AU1500" s="10"/>
      <c r="AV1500" s="10"/>
      <c r="AW1500" s="10"/>
      <c r="AX1500" s="10"/>
      <c r="AY1500" s="10"/>
      <c r="AZ1500" s="10"/>
      <c r="BA1500" s="10"/>
      <c r="BB1500" s="10"/>
      <c r="BC1500" s="10"/>
      <c r="BD1500" s="10"/>
      <c r="BE1500" s="10"/>
      <c r="BF1500" s="10"/>
      <c r="BG1500" s="10"/>
      <c r="BH1500" s="10"/>
      <c r="BI1500" s="10"/>
      <c r="BJ1500" s="10"/>
      <c r="BK1500" s="10"/>
      <c r="BL1500" s="10"/>
    </row>
    <row r="1501" spans="5:64" s="8" customFormat="1" x14ac:dyDescent="0.2">
      <c r="E1501" s="85"/>
      <c r="AR1501" s="10"/>
      <c r="AS1501" s="10"/>
      <c r="AT1501" s="10"/>
      <c r="AU1501" s="10"/>
      <c r="AV1501" s="10"/>
      <c r="AW1501" s="10"/>
      <c r="AX1501" s="10"/>
      <c r="AY1501" s="10"/>
      <c r="AZ1501" s="10"/>
      <c r="BA1501" s="10"/>
      <c r="BB1501" s="10"/>
      <c r="BC1501" s="10"/>
      <c r="BD1501" s="10"/>
      <c r="BE1501" s="10"/>
      <c r="BF1501" s="10"/>
      <c r="BG1501" s="10"/>
      <c r="BH1501" s="10"/>
      <c r="BI1501" s="10"/>
      <c r="BJ1501" s="10"/>
      <c r="BK1501" s="10"/>
      <c r="BL1501" s="10"/>
    </row>
    <row r="1502" spans="5:64" s="8" customFormat="1" x14ac:dyDescent="0.2">
      <c r="E1502" s="85"/>
      <c r="AR1502" s="10"/>
      <c r="AS1502" s="10"/>
      <c r="AT1502" s="10"/>
      <c r="AU1502" s="10"/>
      <c r="AV1502" s="10"/>
      <c r="AW1502" s="10"/>
      <c r="AX1502" s="10"/>
      <c r="AY1502" s="10"/>
      <c r="AZ1502" s="10"/>
      <c r="BA1502" s="10"/>
      <c r="BB1502" s="10"/>
      <c r="BC1502" s="10"/>
      <c r="BD1502" s="10"/>
      <c r="BE1502" s="10"/>
      <c r="BF1502" s="10"/>
      <c r="BG1502" s="10"/>
      <c r="BH1502" s="10"/>
      <c r="BI1502" s="10"/>
      <c r="BJ1502" s="10"/>
      <c r="BK1502" s="10"/>
      <c r="BL1502" s="10"/>
    </row>
    <row r="1503" spans="5:64" s="8" customFormat="1" x14ac:dyDescent="0.2">
      <c r="E1503" s="85"/>
      <c r="AR1503" s="10"/>
      <c r="AS1503" s="10"/>
      <c r="AT1503" s="10"/>
      <c r="AU1503" s="10"/>
      <c r="AV1503" s="10"/>
      <c r="AW1503" s="10"/>
      <c r="AX1503" s="10"/>
      <c r="AY1503" s="10"/>
      <c r="AZ1503" s="10"/>
      <c r="BA1503" s="10"/>
      <c r="BB1503" s="10"/>
      <c r="BC1503" s="10"/>
      <c r="BD1503" s="10"/>
      <c r="BE1503" s="10"/>
      <c r="BF1503" s="10"/>
      <c r="BG1503" s="10"/>
      <c r="BH1503" s="10"/>
      <c r="BI1503" s="10"/>
      <c r="BJ1503" s="10"/>
      <c r="BK1503" s="10"/>
      <c r="BL1503" s="10"/>
    </row>
    <row r="1504" spans="5:64" s="8" customFormat="1" x14ac:dyDescent="0.2">
      <c r="E1504" s="85"/>
      <c r="AR1504" s="10"/>
      <c r="AS1504" s="10"/>
      <c r="AT1504" s="10"/>
      <c r="AU1504" s="10"/>
      <c r="AV1504" s="10"/>
      <c r="AW1504" s="10"/>
      <c r="AX1504" s="10"/>
      <c r="AY1504" s="10"/>
      <c r="AZ1504" s="10"/>
      <c r="BA1504" s="10"/>
      <c r="BB1504" s="10"/>
      <c r="BC1504" s="10"/>
      <c r="BD1504" s="10"/>
      <c r="BE1504" s="10"/>
      <c r="BF1504" s="10"/>
      <c r="BG1504" s="10"/>
      <c r="BH1504" s="10"/>
      <c r="BI1504" s="10"/>
      <c r="BJ1504" s="10"/>
      <c r="BK1504" s="10"/>
      <c r="BL1504" s="10"/>
    </row>
    <row r="1505" spans="5:64" s="8" customFormat="1" x14ac:dyDescent="0.2">
      <c r="E1505" s="85"/>
      <c r="AR1505" s="10"/>
      <c r="AS1505" s="10"/>
      <c r="AT1505" s="10"/>
      <c r="AU1505" s="10"/>
      <c r="AV1505" s="10"/>
      <c r="AW1505" s="10"/>
      <c r="AX1505" s="10"/>
      <c r="AY1505" s="10"/>
      <c r="AZ1505" s="10"/>
      <c r="BA1505" s="10"/>
      <c r="BB1505" s="10"/>
      <c r="BC1505" s="10"/>
      <c r="BD1505" s="10"/>
      <c r="BE1505" s="10"/>
      <c r="BF1505" s="10"/>
      <c r="BG1505" s="10"/>
      <c r="BH1505" s="10"/>
      <c r="BI1505" s="10"/>
      <c r="BJ1505" s="10"/>
      <c r="BK1505" s="10"/>
      <c r="BL1505" s="10"/>
    </row>
    <row r="1506" spans="5:64" s="8" customFormat="1" x14ac:dyDescent="0.2">
      <c r="E1506" s="85"/>
      <c r="AR1506" s="10"/>
      <c r="AS1506" s="10"/>
      <c r="AT1506" s="10"/>
      <c r="AU1506" s="10"/>
      <c r="AV1506" s="10"/>
      <c r="AW1506" s="10"/>
      <c r="AX1506" s="10"/>
      <c r="AY1506" s="10"/>
      <c r="AZ1506" s="10"/>
      <c r="BA1506" s="10"/>
      <c r="BB1506" s="10"/>
      <c r="BC1506" s="10"/>
      <c r="BD1506" s="10"/>
      <c r="BE1506" s="10"/>
      <c r="BF1506" s="10"/>
      <c r="BG1506" s="10"/>
      <c r="BH1506" s="10"/>
      <c r="BI1506" s="10"/>
      <c r="BJ1506" s="10"/>
      <c r="BK1506" s="10"/>
      <c r="BL1506" s="10"/>
    </row>
    <row r="1507" spans="5:64" s="8" customFormat="1" x14ac:dyDescent="0.2">
      <c r="E1507" s="85"/>
      <c r="AR1507" s="10"/>
      <c r="AS1507" s="10"/>
      <c r="AT1507" s="10"/>
      <c r="AU1507" s="10"/>
      <c r="AV1507" s="10"/>
      <c r="AW1507" s="10"/>
      <c r="AX1507" s="10"/>
      <c r="AY1507" s="10"/>
      <c r="AZ1507" s="10"/>
      <c r="BA1507" s="10"/>
      <c r="BB1507" s="10"/>
      <c r="BC1507" s="10"/>
      <c r="BD1507" s="10"/>
      <c r="BE1507" s="10"/>
      <c r="BF1507" s="10"/>
      <c r="BG1507" s="10"/>
      <c r="BH1507" s="10"/>
      <c r="BI1507" s="10"/>
      <c r="BJ1507" s="10"/>
      <c r="BK1507" s="10"/>
      <c r="BL1507" s="10"/>
    </row>
    <row r="1508" spans="5:64" s="8" customFormat="1" x14ac:dyDescent="0.2">
      <c r="E1508" s="85"/>
      <c r="AR1508" s="10"/>
      <c r="AS1508" s="10"/>
      <c r="AT1508" s="10"/>
      <c r="AU1508" s="10"/>
      <c r="AV1508" s="10"/>
      <c r="AW1508" s="10"/>
      <c r="AX1508" s="10"/>
      <c r="AY1508" s="10"/>
      <c r="AZ1508" s="10"/>
      <c r="BA1508" s="10"/>
      <c r="BB1508" s="10"/>
      <c r="BC1508" s="10"/>
      <c r="BD1508" s="10"/>
      <c r="BE1508" s="10"/>
      <c r="BF1508" s="10"/>
      <c r="BG1508" s="10"/>
      <c r="BH1508" s="10"/>
      <c r="BI1508" s="10"/>
      <c r="BJ1508" s="10"/>
      <c r="BK1508" s="10"/>
      <c r="BL1508" s="10"/>
    </row>
    <row r="1509" spans="5:64" s="8" customFormat="1" x14ac:dyDescent="0.2">
      <c r="E1509" s="85"/>
      <c r="AR1509" s="10"/>
      <c r="AS1509" s="10"/>
      <c r="AT1509" s="10"/>
      <c r="AU1509" s="10"/>
      <c r="AV1509" s="10"/>
      <c r="AW1509" s="10"/>
      <c r="AX1509" s="10"/>
      <c r="AY1509" s="10"/>
      <c r="AZ1509" s="10"/>
      <c r="BA1509" s="10"/>
      <c r="BB1509" s="10"/>
      <c r="BC1509" s="10"/>
      <c r="BD1509" s="10"/>
      <c r="BE1509" s="10"/>
      <c r="BF1509" s="10"/>
      <c r="BG1509" s="10"/>
      <c r="BH1509" s="10"/>
      <c r="BI1509" s="10"/>
      <c r="BJ1509" s="10"/>
      <c r="BK1509" s="10"/>
      <c r="BL1509" s="10"/>
    </row>
    <row r="1510" spans="5:64" s="8" customFormat="1" x14ac:dyDescent="0.2">
      <c r="E1510" s="85"/>
      <c r="AR1510" s="10"/>
      <c r="AS1510" s="10"/>
      <c r="AT1510" s="10"/>
      <c r="AU1510" s="10"/>
      <c r="AV1510" s="10"/>
      <c r="AW1510" s="10"/>
      <c r="AX1510" s="10"/>
      <c r="AY1510" s="10"/>
      <c r="AZ1510" s="10"/>
      <c r="BA1510" s="10"/>
      <c r="BB1510" s="10"/>
      <c r="BC1510" s="10"/>
      <c r="BD1510" s="10"/>
      <c r="BE1510" s="10"/>
      <c r="BF1510" s="10"/>
      <c r="BG1510" s="10"/>
      <c r="BH1510" s="10"/>
      <c r="BI1510" s="10"/>
      <c r="BJ1510" s="10"/>
      <c r="BK1510" s="10"/>
      <c r="BL1510" s="10"/>
    </row>
    <row r="1511" spans="5:64" s="8" customFormat="1" x14ac:dyDescent="0.2">
      <c r="E1511" s="85"/>
      <c r="AR1511" s="10"/>
      <c r="AS1511" s="10"/>
      <c r="AT1511" s="10"/>
      <c r="AU1511" s="10"/>
      <c r="AV1511" s="10"/>
      <c r="AW1511" s="10"/>
      <c r="AX1511" s="10"/>
      <c r="AY1511" s="10"/>
      <c r="AZ1511" s="10"/>
      <c r="BA1511" s="10"/>
      <c r="BB1511" s="10"/>
      <c r="BC1511" s="10"/>
      <c r="BD1511" s="10"/>
      <c r="BE1511" s="10"/>
      <c r="BF1511" s="10"/>
      <c r="BG1511" s="10"/>
      <c r="BH1511" s="10"/>
      <c r="BI1511" s="10"/>
      <c r="BJ1511" s="10"/>
      <c r="BK1511" s="10"/>
      <c r="BL1511" s="10"/>
    </row>
    <row r="1512" spans="5:64" s="8" customFormat="1" x14ac:dyDescent="0.2">
      <c r="E1512" s="85"/>
      <c r="AR1512" s="10"/>
      <c r="AS1512" s="10"/>
      <c r="AT1512" s="10"/>
      <c r="AU1512" s="10"/>
      <c r="AV1512" s="10"/>
      <c r="AW1512" s="10"/>
      <c r="AX1512" s="10"/>
      <c r="AY1512" s="10"/>
      <c r="AZ1512" s="10"/>
      <c r="BA1512" s="10"/>
      <c r="BB1512" s="10"/>
      <c r="BC1512" s="10"/>
      <c r="BD1512" s="10"/>
      <c r="BE1512" s="10"/>
      <c r="BF1512" s="10"/>
      <c r="BG1512" s="10"/>
      <c r="BH1512" s="10"/>
      <c r="BI1512" s="10"/>
      <c r="BJ1512" s="10"/>
      <c r="BK1512" s="10"/>
      <c r="BL1512" s="10"/>
    </row>
    <row r="1513" spans="5:64" s="8" customFormat="1" x14ac:dyDescent="0.2">
      <c r="E1513" s="85"/>
      <c r="AR1513" s="10"/>
      <c r="AS1513" s="10"/>
      <c r="AT1513" s="10"/>
      <c r="AU1513" s="10"/>
      <c r="AV1513" s="10"/>
      <c r="AW1513" s="10"/>
      <c r="AX1513" s="10"/>
      <c r="AY1513" s="10"/>
      <c r="AZ1513" s="10"/>
      <c r="BA1513" s="10"/>
      <c r="BB1513" s="10"/>
      <c r="BC1513" s="10"/>
      <c r="BD1513" s="10"/>
      <c r="BE1513" s="10"/>
      <c r="BF1513" s="10"/>
      <c r="BG1513" s="10"/>
      <c r="BH1513" s="10"/>
      <c r="BI1513" s="10"/>
      <c r="BJ1513" s="10"/>
      <c r="BK1513" s="10"/>
      <c r="BL1513" s="10"/>
    </row>
    <row r="1514" spans="5:64" s="8" customFormat="1" x14ac:dyDescent="0.2">
      <c r="E1514" s="85"/>
      <c r="AR1514" s="10"/>
      <c r="AS1514" s="10"/>
      <c r="AT1514" s="10"/>
      <c r="AU1514" s="10"/>
      <c r="AV1514" s="10"/>
      <c r="AW1514" s="10"/>
      <c r="AX1514" s="10"/>
      <c r="AY1514" s="10"/>
      <c r="AZ1514" s="10"/>
      <c r="BA1514" s="10"/>
      <c r="BB1514" s="10"/>
      <c r="BC1514" s="10"/>
      <c r="BD1514" s="10"/>
      <c r="BE1514" s="10"/>
      <c r="BF1514" s="10"/>
      <c r="BG1514" s="10"/>
      <c r="BH1514" s="10"/>
      <c r="BI1514" s="10"/>
      <c r="BJ1514" s="10"/>
      <c r="BK1514" s="10"/>
      <c r="BL1514" s="10"/>
    </row>
    <row r="1515" spans="5:64" s="8" customFormat="1" x14ac:dyDescent="0.2">
      <c r="E1515" s="85"/>
      <c r="AR1515" s="10"/>
      <c r="AS1515" s="10"/>
      <c r="AT1515" s="10"/>
      <c r="AU1515" s="10"/>
      <c r="AV1515" s="10"/>
      <c r="AW1515" s="10"/>
      <c r="AX1515" s="10"/>
      <c r="AY1515" s="10"/>
      <c r="AZ1515" s="10"/>
      <c r="BA1515" s="10"/>
      <c r="BB1515" s="10"/>
      <c r="BC1515" s="10"/>
      <c r="BD1515" s="10"/>
      <c r="BE1515" s="10"/>
      <c r="BF1515" s="10"/>
      <c r="BG1515" s="10"/>
      <c r="BH1515" s="10"/>
      <c r="BI1515" s="10"/>
      <c r="BJ1515" s="10"/>
      <c r="BK1515" s="10"/>
      <c r="BL1515" s="10"/>
    </row>
    <row r="1516" spans="5:64" s="8" customFormat="1" x14ac:dyDescent="0.2">
      <c r="E1516" s="85"/>
      <c r="AR1516" s="10"/>
      <c r="AS1516" s="10"/>
      <c r="AT1516" s="10"/>
      <c r="AU1516" s="10"/>
      <c r="AV1516" s="10"/>
      <c r="AW1516" s="10"/>
      <c r="AX1516" s="10"/>
      <c r="AY1516" s="10"/>
      <c r="AZ1516" s="10"/>
      <c r="BA1516" s="10"/>
      <c r="BB1516" s="10"/>
      <c r="BC1516" s="10"/>
      <c r="BD1516" s="10"/>
      <c r="BE1516" s="10"/>
      <c r="BF1516" s="10"/>
      <c r="BG1516" s="10"/>
      <c r="BH1516" s="10"/>
      <c r="BI1516" s="10"/>
      <c r="BJ1516" s="10"/>
      <c r="BK1516" s="10"/>
      <c r="BL1516" s="10"/>
    </row>
    <row r="1517" spans="5:64" s="8" customFormat="1" x14ac:dyDescent="0.2">
      <c r="E1517" s="85"/>
      <c r="AR1517" s="10"/>
      <c r="AS1517" s="10"/>
      <c r="AT1517" s="10"/>
      <c r="AU1517" s="10"/>
      <c r="AV1517" s="10"/>
      <c r="AW1517" s="10"/>
      <c r="AX1517" s="10"/>
      <c r="AY1517" s="10"/>
      <c r="AZ1517" s="10"/>
      <c r="BA1517" s="10"/>
      <c r="BB1517" s="10"/>
      <c r="BC1517" s="10"/>
      <c r="BD1517" s="10"/>
      <c r="BE1517" s="10"/>
      <c r="BF1517" s="10"/>
      <c r="BG1517" s="10"/>
      <c r="BH1517" s="10"/>
      <c r="BI1517" s="10"/>
      <c r="BJ1517" s="10"/>
      <c r="BK1517" s="10"/>
      <c r="BL1517" s="10"/>
    </row>
    <row r="1518" spans="5:64" s="8" customFormat="1" x14ac:dyDescent="0.2">
      <c r="E1518" s="85"/>
      <c r="AR1518" s="10"/>
      <c r="AS1518" s="10"/>
      <c r="AT1518" s="10"/>
      <c r="AU1518" s="10"/>
      <c r="AV1518" s="10"/>
      <c r="AW1518" s="10"/>
      <c r="AX1518" s="10"/>
      <c r="AY1518" s="10"/>
      <c r="AZ1518" s="10"/>
      <c r="BA1518" s="10"/>
      <c r="BB1518" s="10"/>
      <c r="BC1518" s="10"/>
      <c r="BD1518" s="10"/>
      <c r="BE1518" s="10"/>
      <c r="BF1518" s="10"/>
      <c r="BG1518" s="10"/>
      <c r="BH1518" s="10"/>
      <c r="BI1518" s="10"/>
      <c r="BJ1518" s="10"/>
      <c r="BK1518" s="10"/>
      <c r="BL1518" s="10"/>
    </row>
    <row r="1519" spans="5:64" s="8" customFormat="1" x14ac:dyDescent="0.2">
      <c r="E1519" s="85"/>
      <c r="AR1519" s="10"/>
      <c r="AS1519" s="10"/>
      <c r="AT1519" s="10"/>
      <c r="AU1519" s="10"/>
      <c r="AV1519" s="10"/>
      <c r="AW1519" s="10"/>
      <c r="AX1519" s="10"/>
      <c r="AY1519" s="10"/>
      <c r="AZ1519" s="10"/>
      <c r="BA1519" s="10"/>
      <c r="BB1519" s="10"/>
      <c r="BC1519" s="10"/>
      <c r="BD1519" s="10"/>
      <c r="BE1519" s="10"/>
      <c r="BF1519" s="10"/>
      <c r="BG1519" s="10"/>
      <c r="BH1519" s="10"/>
      <c r="BI1519" s="10"/>
      <c r="BJ1519" s="10"/>
      <c r="BK1519" s="10"/>
      <c r="BL1519" s="10"/>
    </row>
    <row r="1520" spans="5:64" s="8" customFormat="1" x14ac:dyDescent="0.2">
      <c r="E1520" s="85"/>
      <c r="AR1520" s="10"/>
      <c r="AS1520" s="10"/>
      <c r="AT1520" s="10"/>
      <c r="AU1520" s="10"/>
      <c r="AV1520" s="10"/>
      <c r="AW1520" s="10"/>
      <c r="AX1520" s="10"/>
      <c r="AY1520" s="10"/>
      <c r="AZ1520" s="10"/>
      <c r="BA1520" s="10"/>
      <c r="BB1520" s="10"/>
      <c r="BC1520" s="10"/>
      <c r="BD1520" s="10"/>
      <c r="BE1520" s="10"/>
      <c r="BF1520" s="10"/>
      <c r="BG1520" s="10"/>
      <c r="BH1520" s="10"/>
      <c r="BI1520" s="10"/>
      <c r="BJ1520" s="10"/>
      <c r="BK1520" s="10"/>
      <c r="BL1520" s="10"/>
    </row>
    <row r="1521" spans="5:64" s="8" customFormat="1" x14ac:dyDescent="0.2">
      <c r="E1521" s="85"/>
      <c r="AR1521" s="10"/>
      <c r="AS1521" s="10"/>
      <c r="AT1521" s="10"/>
      <c r="AU1521" s="10"/>
      <c r="AV1521" s="10"/>
      <c r="AW1521" s="10"/>
      <c r="AX1521" s="10"/>
      <c r="AY1521" s="10"/>
      <c r="AZ1521" s="10"/>
      <c r="BA1521" s="10"/>
      <c r="BB1521" s="10"/>
      <c r="BC1521" s="10"/>
      <c r="BD1521" s="10"/>
      <c r="BE1521" s="10"/>
      <c r="BF1521" s="10"/>
      <c r="BG1521" s="10"/>
      <c r="BH1521" s="10"/>
      <c r="BI1521" s="10"/>
      <c r="BJ1521" s="10"/>
      <c r="BK1521" s="10"/>
      <c r="BL1521" s="10"/>
    </row>
    <row r="1522" spans="5:64" s="8" customFormat="1" x14ac:dyDescent="0.2">
      <c r="E1522" s="85"/>
      <c r="AR1522" s="10"/>
      <c r="AS1522" s="10"/>
      <c r="AT1522" s="10"/>
      <c r="AU1522" s="10"/>
      <c r="AV1522" s="10"/>
      <c r="AW1522" s="10"/>
      <c r="AX1522" s="10"/>
      <c r="AY1522" s="10"/>
      <c r="AZ1522" s="10"/>
      <c r="BA1522" s="10"/>
      <c r="BB1522" s="10"/>
      <c r="BC1522" s="10"/>
      <c r="BD1522" s="10"/>
      <c r="BE1522" s="10"/>
      <c r="BF1522" s="10"/>
      <c r="BG1522" s="10"/>
      <c r="BH1522" s="10"/>
      <c r="BI1522" s="10"/>
      <c r="BJ1522" s="10"/>
      <c r="BK1522" s="10"/>
      <c r="BL1522" s="10"/>
    </row>
    <row r="1523" spans="5:64" s="8" customFormat="1" x14ac:dyDescent="0.2">
      <c r="E1523" s="85"/>
      <c r="AR1523" s="10"/>
      <c r="AS1523" s="10"/>
      <c r="AT1523" s="10"/>
      <c r="AU1523" s="10"/>
      <c r="AV1523" s="10"/>
      <c r="AW1523" s="10"/>
      <c r="AX1523" s="10"/>
      <c r="AY1523" s="10"/>
      <c r="AZ1523" s="10"/>
      <c r="BA1523" s="10"/>
      <c r="BB1523" s="10"/>
      <c r="BC1523" s="10"/>
      <c r="BD1523" s="10"/>
      <c r="BE1523" s="10"/>
      <c r="BF1523" s="10"/>
      <c r="BG1523" s="10"/>
      <c r="BH1523" s="10"/>
      <c r="BI1523" s="10"/>
      <c r="BJ1523" s="10"/>
      <c r="BK1523" s="10"/>
      <c r="BL1523" s="10"/>
    </row>
    <row r="1524" spans="5:64" s="8" customFormat="1" x14ac:dyDescent="0.2">
      <c r="E1524" s="85"/>
      <c r="AR1524" s="10"/>
      <c r="AS1524" s="10"/>
      <c r="AT1524" s="10"/>
      <c r="AU1524" s="10"/>
      <c r="AV1524" s="10"/>
      <c r="AW1524" s="10"/>
      <c r="AX1524" s="10"/>
      <c r="AY1524" s="10"/>
      <c r="AZ1524" s="10"/>
      <c r="BA1524" s="10"/>
      <c r="BB1524" s="10"/>
      <c r="BC1524" s="10"/>
      <c r="BD1524" s="10"/>
      <c r="BE1524" s="10"/>
      <c r="BF1524" s="10"/>
      <c r="BG1524" s="10"/>
      <c r="BH1524" s="10"/>
      <c r="BI1524" s="10"/>
      <c r="BJ1524" s="10"/>
      <c r="BK1524" s="10"/>
      <c r="BL1524" s="10"/>
    </row>
    <row r="1525" spans="5:64" s="8" customFormat="1" x14ac:dyDescent="0.2">
      <c r="E1525" s="85"/>
      <c r="AR1525" s="10"/>
      <c r="AS1525" s="10"/>
      <c r="AT1525" s="10"/>
      <c r="AU1525" s="10"/>
      <c r="AV1525" s="10"/>
      <c r="AW1525" s="10"/>
      <c r="AX1525" s="10"/>
      <c r="AY1525" s="10"/>
      <c r="AZ1525" s="10"/>
      <c r="BA1525" s="10"/>
      <c r="BB1525" s="10"/>
      <c r="BC1525" s="10"/>
      <c r="BD1525" s="10"/>
      <c r="BE1525" s="10"/>
      <c r="BF1525" s="10"/>
      <c r="BG1525" s="10"/>
      <c r="BH1525" s="10"/>
      <c r="BI1525" s="10"/>
      <c r="BJ1525" s="10"/>
      <c r="BK1525" s="10"/>
      <c r="BL1525" s="10"/>
    </row>
    <row r="1526" spans="5:64" s="8" customFormat="1" x14ac:dyDescent="0.2">
      <c r="E1526" s="85"/>
      <c r="AR1526" s="10"/>
      <c r="AS1526" s="10"/>
      <c r="AT1526" s="10"/>
      <c r="AU1526" s="10"/>
      <c r="AV1526" s="10"/>
      <c r="AW1526" s="10"/>
      <c r="AX1526" s="10"/>
      <c r="AY1526" s="10"/>
      <c r="AZ1526" s="10"/>
      <c r="BA1526" s="10"/>
      <c r="BB1526" s="10"/>
      <c r="BC1526" s="10"/>
      <c r="BD1526" s="10"/>
      <c r="BE1526" s="10"/>
      <c r="BF1526" s="10"/>
      <c r="BG1526" s="10"/>
      <c r="BH1526" s="10"/>
      <c r="BI1526" s="10"/>
      <c r="BJ1526" s="10"/>
      <c r="BK1526" s="10"/>
      <c r="BL1526" s="10"/>
    </row>
    <row r="1527" spans="5:64" s="8" customFormat="1" x14ac:dyDescent="0.2">
      <c r="E1527" s="85"/>
      <c r="AR1527" s="10"/>
      <c r="AS1527" s="10"/>
      <c r="AT1527" s="10"/>
      <c r="AU1527" s="10"/>
      <c r="AV1527" s="10"/>
      <c r="AW1527" s="10"/>
      <c r="AX1527" s="10"/>
      <c r="AY1527" s="10"/>
      <c r="AZ1527" s="10"/>
      <c r="BA1527" s="10"/>
      <c r="BB1527" s="10"/>
      <c r="BC1527" s="10"/>
      <c r="BD1527" s="10"/>
      <c r="BE1527" s="10"/>
      <c r="BF1527" s="10"/>
      <c r="BG1527" s="10"/>
      <c r="BH1527" s="10"/>
      <c r="BI1527" s="10"/>
      <c r="BJ1527" s="10"/>
      <c r="BK1527" s="10"/>
      <c r="BL1527" s="10"/>
    </row>
    <row r="1528" spans="5:64" s="8" customFormat="1" x14ac:dyDescent="0.2">
      <c r="E1528" s="85"/>
      <c r="AR1528" s="10"/>
      <c r="AS1528" s="10"/>
      <c r="AT1528" s="10"/>
      <c r="AU1528" s="10"/>
      <c r="AV1528" s="10"/>
      <c r="AW1528" s="10"/>
      <c r="AX1528" s="10"/>
      <c r="AY1528" s="10"/>
      <c r="AZ1528" s="10"/>
      <c r="BA1528" s="10"/>
      <c r="BB1528" s="10"/>
      <c r="BC1528" s="10"/>
      <c r="BD1528" s="10"/>
      <c r="BE1528" s="10"/>
      <c r="BF1528" s="10"/>
      <c r="BG1528" s="10"/>
      <c r="BH1528" s="10"/>
      <c r="BI1528" s="10"/>
      <c r="BJ1528" s="10"/>
      <c r="BK1528" s="10"/>
      <c r="BL1528" s="10"/>
    </row>
    <row r="1529" spans="5:64" s="8" customFormat="1" x14ac:dyDescent="0.2">
      <c r="E1529" s="85"/>
      <c r="AR1529" s="10"/>
      <c r="AS1529" s="10"/>
      <c r="AT1529" s="10"/>
      <c r="AU1529" s="10"/>
      <c r="AV1529" s="10"/>
      <c r="AW1529" s="10"/>
      <c r="AX1529" s="10"/>
      <c r="AY1529" s="10"/>
      <c r="AZ1529" s="10"/>
      <c r="BA1529" s="10"/>
      <c r="BB1529" s="10"/>
      <c r="BC1529" s="10"/>
      <c r="BD1529" s="10"/>
      <c r="BE1529" s="10"/>
      <c r="BF1529" s="10"/>
      <c r="BG1529" s="10"/>
      <c r="BH1529" s="10"/>
      <c r="BI1529" s="10"/>
      <c r="BJ1529" s="10"/>
      <c r="BK1529" s="10"/>
      <c r="BL1529" s="10"/>
    </row>
    <row r="1530" spans="5:64" s="8" customFormat="1" x14ac:dyDescent="0.2">
      <c r="E1530" s="85"/>
      <c r="AR1530" s="10"/>
      <c r="AS1530" s="10"/>
      <c r="AT1530" s="10"/>
      <c r="AU1530" s="10"/>
      <c r="AV1530" s="10"/>
      <c r="AW1530" s="10"/>
      <c r="AX1530" s="10"/>
      <c r="AY1530" s="10"/>
      <c r="AZ1530" s="10"/>
      <c r="BA1530" s="10"/>
      <c r="BB1530" s="10"/>
      <c r="BC1530" s="10"/>
      <c r="BD1530" s="10"/>
      <c r="BE1530" s="10"/>
      <c r="BF1530" s="10"/>
      <c r="BG1530" s="10"/>
      <c r="BH1530" s="10"/>
      <c r="BI1530" s="10"/>
      <c r="BJ1530" s="10"/>
      <c r="BK1530" s="10"/>
      <c r="BL1530" s="10"/>
    </row>
    <row r="1531" spans="5:64" s="8" customFormat="1" x14ac:dyDescent="0.2">
      <c r="E1531" s="85"/>
      <c r="AR1531" s="10"/>
      <c r="AS1531" s="10"/>
      <c r="AT1531" s="10"/>
      <c r="AU1531" s="10"/>
      <c r="AV1531" s="10"/>
      <c r="AW1531" s="10"/>
      <c r="AX1531" s="10"/>
      <c r="AY1531" s="10"/>
      <c r="AZ1531" s="10"/>
      <c r="BA1531" s="10"/>
      <c r="BB1531" s="10"/>
      <c r="BC1531" s="10"/>
      <c r="BD1531" s="10"/>
      <c r="BE1531" s="10"/>
      <c r="BF1531" s="10"/>
      <c r="BG1531" s="10"/>
      <c r="BH1531" s="10"/>
      <c r="BI1531" s="10"/>
      <c r="BJ1531" s="10"/>
      <c r="BK1531" s="10"/>
      <c r="BL1531" s="10"/>
    </row>
    <row r="1532" spans="5:64" s="8" customFormat="1" x14ac:dyDescent="0.2">
      <c r="E1532" s="85"/>
      <c r="AR1532" s="10"/>
      <c r="AS1532" s="10"/>
      <c r="AT1532" s="10"/>
      <c r="AU1532" s="10"/>
      <c r="AV1532" s="10"/>
      <c r="AW1532" s="10"/>
      <c r="AX1532" s="10"/>
      <c r="AY1532" s="10"/>
      <c r="AZ1532" s="10"/>
      <c r="BA1532" s="10"/>
      <c r="BB1532" s="10"/>
      <c r="BC1532" s="10"/>
      <c r="BD1532" s="10"/>
      <c r="BE1532" s="10"/>
      <c r="BF1532" s="10"/>
      <c r="BG1532" s="10"/>
      <c r="BH1532" s="10"/>
      <c r="BI1532" s="10"/>
      <c r="BJ1532" s="10"/>
      <c r="BK1532" s="10"/>
      <c r="BL1532" s="10"/>
    </row>
    <row r="1533" spans="5:64" s="8" customFormat="1" x14ac:dyDescent="0.2">
      <c r="E1533" s="85"/>
      <c r="AR1533" s="10"/>
      <c r="AS1533" s="10"/>
      <c r="AT1533" s="10"/>
      <c r="AU1533" s="10"/>
      <c r="AV1533" s="10"/>
      <c r="AW1533" s="10"/>
      <c r="AX1533" s="10"/>
      <c r="AY1533" s="10"/>
      <c r="AZ1533" s="10"/>
      <c r="BA1533" s="10"/>
      <c r="BB1533" s="10"/>
      <c r="BC1533" s="10"/>
      <c r="BD1533" s="10"/>
      <c r="BE1533" s="10"/>
      <c r="BF1533" s="10"/>
      <c r="BG1533" s="10"/>
      <c r="BH1533" s="10"/>
      <c r="BI1533" s="10"/>
      <c r="BJ1533" s="10"/>
      <c r="BK1533" s="10"/>
      <c r="BL1533" s="10"/>
    </row>
    <row r="1534" spans="5:64" s="8" customFormat="1" x14ac:dyDescent="0.2">
      <c r="E1534" s="85"/>
      <c r="AR1534" s="10"/>
      <c r="AS1534" s="10"/>
      <c r="AT1534" s="10"/>
      <c r="AU1534" s="10"/>
      <c r="AV1534" s="10"/>
      <c r="AW1534" s="10"/>
      <c r="AX1534" s="10"/>
      <c r="AY1534" s="10"/>
      <c r="AZ1534" s="10"/>
      <c r="BA1534" s="10"/>
      <c r="BB1534" s="10"/>
      <c r="BC1534" s="10"/>
      <c r="BD1534" s="10"/>
      <c r="BE1534" s="10"/>
      <c r="BF1534" s="10"/>
      <c r="BG1534" s="10"/>
      <c r="BH1534" s="10"/>
      <c r="BI1534" s="10"/>
      <c r="BJ1534" s="10"/>
      <c r="BK1534" s="10"/>
      <c r="BL1534" s="10"/>
    </row>
    <row r="1535" spans="5:64" s="8" customFormat="1" x14ac:dyDescent="0.2">
      <c r="E1535" s="85"/>
      <c r="AR1535" s="10"/>
      <c r="AS1535" s="10"/>
      <c r="AT1535" s="10"/>
      <c r="AU1535" s="10"/>
      <c r="AV1535" s="10"/>
      <c r="AW1535" s="10"/>
      <c r="AX1535" s="10"/>
      <c r="AY1535" s="10"/>
      <c r="AZ1535" s="10"/>
      <c r="BA1535" s="10"/>
      <c r="BB1535" s="10"/>
      <c r="BC1535" s="10"/>
      <c r="BD1535" s="10"/>
      <c r="BE1535" s="10"/>
      <c r="BF1535" s="10"/>
      <c r="BG1535" s="10"/>
      <c r="BH1535" s="10"/>
      <c r="BI1535" s="10"/>
      <c r="BJ1535" s="10"/>
      <c r="BK1535" s="10"/>
      <c r="BL1535" s="10"/>
    </row>
    <row r="1536" spans="5:64" s="8" customFormat="1" x14ac:dyDescent="0.2">
      <c r="E1536" s="85"/>
      <c r="AR1536" s="10"/>
      <c r="AS1536" s="10"/>
      <c r="AT1536" s="10"/>
      <c r="AU1536" s="10"/>
      <c r="AV1536" s="10"/>
      <c r="AW1536" s="10"/>
      <c r="AX1536" s="10"/>
      <c r="AY1536" s="10"/>
      <c r="AZ1536" s="10"/>
      <c r="BA1536" s="10"/>
      <c r="BB1536" s="10"/>
      <c r="BC1536" s="10"/>
      <c r="BD1536" s="10"/>
      <c r="BE1536" s="10"/>
      <c r="BF1536" s="10"/>
      <c r="BG1536" s="10"/>
      <c r="BH1536" s="10"/>
      <c r="BI1536" s="10"/>
      <c r="BJ1536" s="10"/>
      <c r="BK1536" s="10"/>
      <c r="BL1536" s="10"/>
    </row>
    <row r="1537" spans="5:64" s="8" customFormat="1" x14ac:dyDescent="0.2">
      <c r="E1537" s="85"/>
      <c r="AR1537" s="10"/>
      <c r="AS1537" s="10"/>
      <c r="AT1537" s="10"/>
      <c r="AU1537" s="10"/>
      <c r="AV1537" s="10"/>
      <c r="AW1537" s="10"/>
      <c r="AX1537" s="10"/>
      <c r="AY1537" s="10"/>
      <c r="AZ1537" s="10"/>
      <c r="BA1537" s="10"/>
      <c r="BB1537" s="10"/>
      <c r="BC1537" s="10"/>
      <c r="BD1537" s="10"/>
      <c r="BE1537" s="10"/>
      <c r="BF1537" s="10"/>
      <c r="BG1537" s="10"/>
      <c r="BH1537" s="10"/>
      <c r="BI1537" s="10"/>
      <c r="BJ1537" s="10"/>
      <c r="BK1537" s="10"/>
      <c r="BL1537" s="10"/>
    </row>
    <row r="1538" spans="5:64" s="8" customFormat="1" x14ac:dyDescent="0.2">
      <c r="E1538" s="85"/>
      <c r="AR1538" s="10"/>
      <c r="AS1538" s="10"/>
      <c r="AT1538" s="10"/>
      <c r="AU1538" s="10"/>
      <c r="AV1538" s="10"/>
      <c r="AW1538" s="10"/>
      <c r="AX1538" s="10"/>
      <c r="AY1538" s="10"/>
      <c r="AZ1538" s="10"/>
      <c r="BA1538" s="10"/>
      <c r="BB1538" s="10"/>
      <c r="BC1538" s="10"/>
      <c r="BD1538" s="10"/>
      <c r="BE1538" s="10"/>
      <c r="BF1538" s="10"/>
      <c r="BG1538" s="10"/>
      <c r="BH1538" s="10"/>
      <c r="BI1538" s="10"/>
      <c r="BJ1538" s="10"/>
      <c r="BK1538" s="10"/>
      <c r="BL1538" s="10"/>
    </row>
    <row r="1539" spans="5:64" s="8" customFormat="1" x14ac:dyDescent="0.2">
      <c r="E1539" s="85"/>
      <c r="AR1539" s="10"/>
      <c r="AS1539" s="10"/>
      <c r="AT1539" s="10"/>
      <c r="AU1539" s="10"/>
      <c r="AV1539" s="10"/>
      <c r="AW1539" s="10"/>
      <c r="AX1539" s="10"/>
      <c r="AY1539" s="10"/>
      <c r="AZ1539" s="10"/>
      <c r="BA1539" s="10"/>
      <c r="BB1539" s="10"/>
      <c r="BC1539" s="10"/>
      <c r="BD1539" s="10"/>
      <c r="BE1539" s="10"/>
      <c r="BF1539" s="10"/>
      <c r="BG1539" s="10"/>
      <c r="BH1539" s="10"/>
      <c r="BI1539" s="10"/>
      <c r="BJ1539" s="10"/>
      <c r="BK1539" s="10"/>
      <c r="BL1539" s="10"/>
    </row>
    <row r="1540" spans="5:64" s="8" customFormat="1" x14ac:dyDescent="0.2">
      <c r="E1540" s="85"/>
      <c r="AR1540" s="10"/>
      <c r="AS1540" s="10"/>
      <c r="AT1540" s="10"/>
      <c r="AU1540" s="10"/>
      <c r="AV1540" s="10"/>
      <c r="AW1540" s="10"/>
      <c r="AX1540" s="10"/>
      <c r="AY1540" s="10"/>
      <c r="AZ1540" s="10"/>
      <c r="BA1540" s="10"/>
      <c r="BB1540" s="10"/>
      <c r="BC1540" s="10"/>
      <c r="BD1540" s="10"/>
      <c r="BE1540" s="10"/>
      <c r="BF1540" s="10"/>
      <c r="BG1540" s="10"/>
      <c r="BH1540" s="10"/>
      <c r="BI1540" s="10"/>
      <c r="BJ1540" s="10"/>
      <c r="BK1540" s="10"/>
      <c r="BL1540" s="10"/>
    </row>
    <row r="1541" spans="5:64" s="8" customFormat="1" x14ac:dyDescent="0.2">
      <c r="E1541" s="85"/>
      <c r="AR1541" s="10"/>
      <c r="AS1541" s="10"/>
      <c r="AT1541" s="10"/>
      <c r="AU1541" s="10"/>
      <c r="AV1541" s="10"/>
      <c r="AW1541" s="10"/>
      <c r="AX1541" s="10"/>
      <c r="AY1541" s="10"/>
      <c r="AZ1541" s="10"/>
      <c r="BA1541" s="10"/>
      <c r="BB1541" s="10"/>
      <c r="BC1541" s="10"/>
      <c r="BD1541" s="10"/>
      <c r="BE1541" s="10"/>
      <c r="BF1541" s="10"/>
      <c r="BG1541" s="10"/>
      <c r="BH1541" s="10"/>
      <c r="BI1541" s="10"/>
      <c r="BJ1541" s="10"/>
      <c r="BK1541" s="10"/>
      <c r="BL1541" s="10"/>
    </row>
    <row r="1542" spans="5:64" s="8" customFormat="1" x14ac:dyDescent="0.2">
      <c r="E1542" s="85"/>
      <c r="AR1542" s="10"/>
      <c r="AS1542" s="10"/>
      <c r="AT1542" s="10"/>
      <c r="AU1542" s="10"/>
      <c r="AV1542" s="10"/>
      <c r="AW1542" s="10"/>
      <c r="AX1542" s="10"/>
      <c r="AY1542" s="10"/>
      <c r="AZ1542" s="10"/>
      <c r="BA1542" s="10"/>
      <c r="BB1542" s="10"/>
      <c r="BC1542" s="10"/>
      <c r="BD1542" s="10"/>
      <c r="BE1542" s="10"/>
      <c r="BF1542" s="10"/>
      <c r="BG1542" s="10"/>
      <c r="BH1542" s="10"/>
      <c r="BI1542" s="10"/>
      <c r="BJ1542" s="10"/>
      <c r="BK1542" s="10"/>
      <c r="BL1542" s="10"/>
    </row>
    <row r="1543" spans="5:64" s="8" customFormat="1" x14ac:dyDescent="0.2">
      <c r="E1543" s="85"/>
      <c r="AR1543" s="10"/>
      <c r="AS1543" s="10"/>
      <c r="AT1543" s="10"/>
      <c r="AU1543" s="10"/>
      <c r="AV1543" s="10"/>
      <c r="AW1543" s="10"/>
      <c r="AX1543" s="10"/>
      <c r="AY1543" s="10"/>
      <c r="AZ1543" s="10"/>
      <c r="BA1543" s="10"/>
      <c r="BB1543" s="10"/>
      <c r="BC1543" s="10"/>
      <c r="BD1543" s="10"/>
      <c r="BE1543" s="10"/>
      <c r="BF1543" s="10"/>
      <c r="BG1543" s="10"/>
      <c r="BH1543" s="10"/>
      <c r="BI1543" s="10"/>
      <c r="BJ1543" s="10"/>
      <c r="BK1543" s="10"/>
      <c r="BL1543" s="10"/>
    </row>
    <row r="1544" spans="5:64" s="8" customFormat="1" x14ac:dyDescent="0.2">
      <c r="E1544" s="85"/>
      <c r="AR1544" s="10"/>
      <c r="AS1544" s="10"/>
      <c r="AT1544" s="10"/>
      <c r="AU1544" s="10"/>
      <c r="AV1544" s="10"/>
      <c r="AW1544" s="10"/>
      <c r="AX1544" s="10"/>
      <c r="AY1544" s="10"/>
      <c r="AZ1544" s="10"/>
      <c r="BA1544" s="10"/>
      <c r="BB1544" s="10"/>
      <c r="BC1544" s="10"/>
      <c r="BD1544" s="10"/>
      <c r="BE1544" s="10"/>
      <c r="BF1544" s="10"/>
      <c r="BG1544" s="10"/>
      <c r="BH1544" s="10"/>
      <c r="BI1544" s="10"/>
      <c r="BJ1544" s="10"/>
      <c r="BK1544" s="10"/>
      <c r="BL1544" s="10"/>
    </row>
    <row r="1545" spans="5:64" s="8" customFormat="1" x14ac:dyDescent="0.2">
      <c r="E1545" s="85"/>
      <c r="AR1545" s="10"/>
      <c r="AS1545" s="10"/>
      <c r="AT1545" s="10"/>
      <c r="AU1545" s="10"/>
      <c r="AV1545" s="10"/>
      <c r="AW1545" s="10"/>
      <c r="AX1545" s="10"/>
      <c r="AY1545" s="10"/>
      <c r="AZ1545" s="10"/>
      <c r="BA1545" s="10"/>
      <c r="BB1545" s="10"/>
      <c r="BC1545" s="10"/>
      <c r="BD1545" s="10"/>
      <c r="BE1545" s="10"/>
      <c r="BF1545" s="10"/>
      <c r="BG1545" s="10"/>
      <c r="BH1545" s="10"/>
      <c r="BI1545" s="10"/>
      <c r="BJ1545" s="10"/>
      <c r="BK1545" s="10"/>
      <c r="BL1545" s="10"/>
    </row>
    <row r="1546" spans="5:64" s="8" customFormat="1" x14ac:dyDescent="0.2">
      <c r="E1546" s="85"/>
      <c r="AR1546" s="10"/>
      <c r="AS1546" s="10"/>
      <c r="AT1546" s="10"/>
      <c r="AU1546" s="10"/>
      <c r="AV1546" s="10"/>
      <c r="AW1546" s="10"/>
      <c r="AX1546" s="10"/>
      <c r="AY1546" s="10"/>
      <c r="AZ1546" s="10"/>
      <c r="BA1546" s="10"/>
      <c r="BB1546" s="10"/>
      <c r="BC1546" s="10"/>
      <c r="BD1546" s="10"/>
      <c r="BE1546" s="10"/>
      <c r="BF1546" s="10"/>
      <c r="BG1546" s="10"/>
      <c r="BH1546" s="10"/>
      <c r="BI1546" s="10"/>
      <c r="BJ1546" s="10"/>
      <c r="BK1546" s="10"/>
      <c r="BL1546" s="10"/>
    </row>
    <row r="1547" spans="5:64" s="8" customFormat="1" x14ac:dyDescent="0.2">
      <c r="E1547" s="85"/>
      <c r="AR1547" s="10"/>
      <c r="AS1547" s="10"/>
      <c r="AT1547" s="10"/>
      <c r="AU1547" s="10"/>
      <c r="AV1547" s="10"/>
      <c r="AW1547" s="10"/>
      <c r="AX1547" s="10"/>
      <c r="AY1547" s="10"/>
      <c r="AZ1547" s="10"/>
      <c r="BA1547" s="10"/>
      <c r="BB1547" s="10"/>
      <c r="BC1547" s="10"/>
      <c r="BD1547" s="10"/>
      <c r="BE1547" s="10"/>
      <c r="BF1547" s="10"/>
      <c r="BG1547" s="10"/>
      <c r="BH1547" s="10"/>
      <c r="BI1547" s="10"/>
      <c r="BJ1547" s="10"/>
      <c r="BK1547" s="10"/>
      <c r="BL1547" s="10"/>
    </row>
    <row r="1548" spans="5:64" s="8" customFormat="1" x14ac:dyDescent="0.2">
      <c r="E1548" s="85"/>
      <c r="AR1548" s="10"/>
      <c r="AS1548" s="10"/>
      <c r="AT1548" s="10"/>
      <c r="AU1548" s="10"/>
      <c r="AV1548" s="10"/>
      <c r="AW1548" s="10"/>
      <c r="AX1548" s="10"/>
      <c r="AY1548" s="10"/>
      <c r="AZ1548" s="10"/>
      <c r="BA1548" s="10"/>
      <c r="BB1548" s="10"/>
      <c r="BC1548" s="10"/>
      <c r="BD1548" s="10"/>
      <c r="BE1548" s="10"/>
      <c r="BF1548" s="10"/>
      <c r="BG1548" s="10"/>
      <c r="BH1548" s="10"/>
      <c r="BI1548" s="10"/>
      <c r="BJ1548" s="10"/>
      <c r="BK1548" s="10"/>
      <c r="BL1548" s="10"/>
    </row>
    <row r="1549" spans="5:64" s="8" customFormat="1" x14ac:dyDescent="0.2">
      <c r="E1549" s="85"/>
      <c r="AR1549" s="10"/>
      <c r="AS1549" s="10"/>
      <c r="AT1549" s="10"/>
      <c r="AU1549" s="10"/>
      <c r="AV1549" s="10"/>
      <c r="AW1549" s="10"/>
      <c r="AX1549" s="10"/>
      <c r="AY1549" s="10"/>
      <c r="AZ1549" s="10"/>
      <c r="BA1549" s="10"/>
      <c r="BB1549" s="10"/>
      <c r="BC1549" s="10"/>
      <c r="BD1549" s="10"/>
      <c r="BE1549" s="10"/>
      <c r="BF1549" s="10"/>
      <c r="BG1549" s="10"/>
      <c r="BH1549" s="10"/>
      <c r="BI1549" s="10"/>
      <c r="BJ1549" s="10"/>
      <c r="BK1549" s="10"/>
      <c r="BL1549" s="10"/>
    </row>
    <row r="1550" spans="5:64" s="8" customFormat="1" x14ac:dyDescent="0.2">
      <c r="E1550" s="85"/>
      <c r="AR1550" s="10"/>
      <c r="AS1550" s="10"/>
      <c r="AT1550" s="10"/>
      <c r="AU1550" s="10"/>
      <c r="AV1550" s="10"/>
      <c r="AW1550" s="10"/>
      <c r="AX1550" s="10"/>
      <c r="AY1550" s="10"/>
      <c r="AZ1550" s="10"/>
      <c r="BA1550" s="10"/>
      <c r="BB1550" s="10"/>
      <c r="BC1550" s="10"/>
      <c r="BD1550" s="10"/>
      <c r="BE1550" s="10"/>
      <c r="BF1550" s="10"/>
      <c r="BG1550" s="10"/>
      <c r="BH1550" s="10"/>
      <c r="BI1550" s="10"/>
      <c r="BJ1550" s="10"/>
      <c r="BK1550" s="10"/>
      <c r="BL1550" s="10"/>
    </row>
    <row r="1551" spans="5:64" s="8" customFormat="1" x14ac:dyDescent="0.2">
      <c r="E1551" s="85"/>
      <c r="AR1551" s="10"/>
      <c r="AS1551" s="10"/>
      <c r="AT1551" s="10"/>
      <c r="AU1551" s="10"/>
      <c r="AV1551" s="10"/>
      <c r="AW1551" s="10"/>
      <c r="AX1551" s="10"/>
      <c r="AY1551" s="10"/>
      <c r="AZ1551" s="10"/>
      <c r="BA1551" s="10"/>
      <c r="BB1551" s="10"/>
      <c r="BC1551" s="10"/>
      <c r="BD1551" s="10"/>
      <c r="BE1551" s="10"/>
      <c r="BF1551" s="10"/>
      <c r="BG1551" s="10"/>
      <c r="BH1551" s="10"/>
      <c r="BI1551" s="10"/>
      <c r="BJ1551" s="10"/>
      <c r="BK1551" s="10"/>
      <c r="BL1551" s="10"/>
    </row>
    <row r="1552" spans="5:64" s="8" customFormat="1" x14ac:dyDescent="0.2">
      <c r="E1552" s="85"/>
      <c r="AR1552" s="10"/>
      <c r="AS1552" s="10"/>
      <c r="AT1552" s="10"/>
      <c r="AU1552" s="10"/>
      <c r="AV1552" s="10"/>
      <c r="AW1552" s="10"/>
      <c r="AX1552" s="10"/>
      <c r="AY1552" s="10"/>
      <c r="AZ1552" s="10"/>
      <c r="BA1552" s="10"/>
      <c r="BB1552" s="10"/>
      <c r="BC1552" s="10"/>
      <c r="BD1552" s="10"/>
      <c r="BE1552" s="10"/>
      <c r="BF1552" s="10"/>
      <c r="BG1552" s="10"/>
      <c r="BH1552" s="10"/>
      <c r="BI1552" s="10"/>
      <c r="BJ1552" s="10"/>
      <c r="BK1552" s="10"/>
      <c r="BL1552" s="10"/>
    </row>
    <row r="1553" spans="5:64" s="8" customFormat="1" x14ac:dyDescent="0.2">
      <c r="E1553" s="85"/>
      <c r="AR1553" s="10"/>
      <c r="AS1553" s="10"/>
      <c r="AT1553" s="10"/>
      <c r="AU1553" s="10"/>
      <c r="AV1553" s="10"/>
      <c r="AW1553" s="10"/>
      <c r="AX1553" s="10"/>
      <c r="AY1553" s="10"/>
      <c r="AZ1553" s="10"/>
      <c r="BA1553" s="10"/>
      <c r="BB1553" s="10"/>
      <c r="BC1553" s="10"/>
      <c r="BD1553" s="10"/>
      <c r="BE1553" s="10"/>
      <c r="BF1553" s="10"/>
      <c r="BG1553" s="10"/>
      <c r="BH1553" s="10"/>
      <c r="BI1553" s="10"/>
      <c r="BJ1553" s="10"/>
      <c r="BK1553" s="10"/>
      <c r="BL1553" s="10"/>
    </row>
    <row r="1554" spans="5:64" s="8" customFormat="1" x14ac:dyDescent="0.2">
      <c r="E1554" s="85"/>
      <c r="AR1554" s="10"/>
      <c r="AS1554" s="10"/>
      <c r="AT1554" s="10"/>
      <c r="AU1554" s="10"/>
      <c r="AV1554" s="10"/>
      <c r="AW1554" s="10"/>
      <c r="AX1554" s="10"/>
      <c r="AY1554" s="10"/>
      <c r="AZ1554" s="10"/>
      <c r="BA1554" s="10"/>
      <c r="BB1554" s="10"/>
      <c r="BC1554" s="10"/>
      <c r="BD1554" s="10"/>
      <c r="BE1554" s="10"/>
      <c r="BF1554" s="10"/>
      <c r="BG1554" s="10"/>
      <c r="BH1554" s="10"/>
      <c r="BI1554" s="10"/>
      <c r="BJ1554" s="10"/>
      <c r="BK1554" s="10"/>
      <c r="BL1554" s="10"/>
    </row>
    <row r="1555" spans="5:64" s="8" customFormat="1" x14ac:dyDescent="0.2">
      <c r="E1555" s="85"/>
      <c r="AR1555" s="10"/>
      <c r="AS1555" s="10"/>
      <c r="AT1555" s="10"/>
      <c r="AU1555" s="10"/>
      <c r="AV1555" s="10"/>
      <c r="AW1555" s="10"/>
      <c r="AX1555" s="10"/>
      <c r="AY1555" s="10"/>
      <c r="AZ1555" s="10"/>
      <c r="BA1555" s="10"/>
      <c r="BB1555" s="10"/>
      <c r="BC1555" s="10"/>
      <c r="BD1555" s="10"/>
      <c r="BE1555" s="10"/>
      <c r="BF1555" s="10"/>
      <c r="BG1555" s="10"/>
      <c r="BH1555" s="10"/>
      <c r="BI1555" s="10"/>
      <c r="BJ1555" s="10"/>
      <c r="BK1555" s="10"/>
      <c r="BL1555" s="10"/>
    </row>
    <row r="1556" spans="5:64" s="8" customFormat="1" x14ac:dyDescent="0.2">
      <c r="E1556" s="85"/>
      <c r="AR1556" s="10"/>
      <c r="AS1556" s="10"/>
      <c r="AT1556" s="10"/>
      <c r="AU1556" s="10"/>
      <c r="AV1556" s="10"/>
      <c r="AW1556" s="10"/>
      <c r="AX1556" s="10"/>
      <c r="AY1556" s="10"/>
      <c r="AZ1556" s="10"/>
      <c r="BA1556" s="10"/>
      <c r="BB1556" s="10"/>
      <c r="BC1556" s="10"/>
      <c r="BD1556" s="10"/>
      <c r="BE1556" s="10"/>
      <c r="BF1556" s="10"/>
      <c r="BG1556" s="10"/>
      <c r="BH1556" s="10"/>
      <c r="BI1556" s="10"/>
      <c r="BJ1556" s="10"/>
      <c r="BK1556" s="10"/>
      <c r="BL1556" s="10"/>
    </row>
    <row r="1557" spans="5:64" s="8" customFormat="1" x14ac:dyDescent="0.2">
      <c r="E1557" s="85"/>
      <c r="AR1557" s="10"/>
      <c r="AS1557" s="10"/>
      <c r="AT1557" s="10"/>
      <c r="AU1557" s="10"/>
      <c r="AV1557" s="10"/>
      <c r="AW1557" s="10"/>
      <c r="AX1557" s="10"/>
      <c r="AY1557" s="10"/>
      <c r="AZ1557" s="10"/>
      <c r="BA1557" s="10"/>
      <c r="BB1557" s="10"/>
      <c r="BC1557" s="10"/>
      <c r="BD1557" s="10"/>
      <c r="BE1557" s="10"/>
      <c r="BF1557" s="10"/>
      <c r="BG1557" s="10"/>
      <c r="BH1557" s="10"/>
      <c r="BI1557" s="10"/>
      <c r="BJ1557" s="10"/>
      <c r="BK1557" s="10"/>
      <c r="BL1557" s="10"/>
    </row>
    <row r="1558" spans="5:64" s="8" customFormat="1" x14ac:dyDescent="0.2">
      <c r="E1558" s="85"/>
      <c r="AR1558" s="10"/>
      <c r="AS1558" s="10"/>
      <c r="AT1558" s="10"/>
      <c r="AU1558" s="10"/>
      <c r="AV1558" s="10"/>
      <c r="AW1558" s="10"/>
      <c r="AX1558" s="10"/>
      <c r="AY1558" s="10"/>
      <c r="AZ1558" s="10"/>
      <c r="BA1558" s="10"/>
      <c r="BB1558" s="10"/>
      <c r="BC1558" s="10"/>
      <c r="BD1558" s="10"/>
      <c r="BE1558" s="10"/>
      <c r="BF1558" s="10"/>
      <c r="BG1558" s="10"/>
      <c r="BH1558" s="10"/>
      <c r="BI1558" s="10"/>
      <c r="BJ1558" s="10"/>
      <c r="BK1558" s="10"/>
      <c r="BL1558" s="10"/>
    </row>
    <row r="1559" spans="5:64" s="8" customFormat="1" x14ac:dyDescent="0.2">
      <c r="E1559" s="85"/>
      <c r="AR1559" s="10"/>
      <c r="AS1559" s="10"/>
      <c r="AT1559" s="10"/>
      <c r="AU1559" s="10"/>
      <c r="AV1559" s="10"/>
      <c r="AW1559" s="10"/>
      <c r="AX1559" s="10"/>
      <c r="AY1559" s="10"/>
      <c r="AZ1559" s="10"/>
      <c r="BA1559" s="10"/>
      <c r="BB1559" s="10"/>
      <c r="BC1559" s="10"/>
      <c r="BD1559" s="10"/>
      <c r="BE1559" s="10"/>
      <c r="BF1559" s="10"/>
      <c r="BG1559" s="10"/>
      <c r="BH1559" s="10"/>
      <c r="BI1559" s="10"/>
      <c r="BJ1559" s="10"/>
      <c r="BK1559" s="10"/>
      <c r="BL1559" s="10"/>
    </row>
    <row r="1560" spans="5:64" s="8" customFormat="1" x14ac:dyDescent="0.2">
      <c r="E1560" s="85"/>
      <c r="AR1560" s="10"/>
      <c r="AS1560" s="10"/>
      <c r="AT1560" s="10"/>
      <c r="AU1560" s="10"/>
      <c r="AV1560" s="10"/>
      <c r="AW1560" s="10"/>
      <c r="AX1560" s="10"/>
      <c r="AY1560" s="10"/>
      <c r="AZ1560" s="10"/>
      <c r="BA1560" s="10"/>
      <c r="BB1560" s="10"/>
      <c r="BC1560" s="10"/>
      <c r="BD1560" s="10"/>
      <c r="BE1560" s="10"/>
      <c r="BF1560" s="10"/>
      <c r="BG1560" s="10"/>
      <c r="BH1560" s="10"/>
      <c r="BI1560" s="10"/>
      <c r="BJ1560" s="10"/>
      <c r="BK1560" s="10"/>
      <c r="BL1560" s="10"/>
    </row>
    <row r="1561" spans="5:64" s="8" customFormat="1" x14ac:dyDescent="0.2">
      <c r="E1561" s="85"/>
      <c r="AR1561" s="10"/>
      <c r="AS1561" s="10"/>
      <c r="AT1561" s="10"/>
      <c r="AU1561" s="10"/>
      <c r="AV1561" s="10"/>
      <c r="AW1561" s="10"/>
      <c r="AX1561" s="10"/>
      <c r="AY1561" s="10"/>
      <c r="AZ1561" s="10"/>
      <c r="BA1561" s="10"/>
      <c r="BB1561" s="10"/>
      <c r="BC1561" s="10"/>
      <c r="BD1561" s="10"/>
      <c r="BE1561" s="10"/>
      <c r="BF1561" s="10"/>
      <c r="BG1561" s="10"/>
      <c r="BH1561" s="10"/>
      <c r="BI1561" s="10"/>
      <c r="BJ1561" s="10"/>
      <c r="BK1561" s="10"/>
      <c r="BL1561" s="10"/>
    </row>
    <row r="1562" spans="5:64" s="8" customFormat="1" x14ac:dyDescent="0.2">
      <c r="E1562" s="85"/>
      <c r="AR1562" s="10"/>
      <c r="AS1562" s="10"/>
      <c r="AT1562" s="10"/>
      <c r="AU1562" s="10"/>
      <c r="AV1562" s="10"/>
      <c r="AW1562" s="10"/>
      <c r="AX1562" s="10"/>
      <c r="AY1562" s="10"/>
      <c r="AZ1562" s="10"/>
      <c r="BA1562" s="10"/>
      <c r="BB1562" s="10"/>
      <c r="BC1562" s="10"/>
      <c r="BD1562" s="10"/>
      <c r="BE1562" s="10"/>
      <c r="BF1562" s="10"/>
      <c r="BG1562" s="10"/>
      <c r="BH1562" s="10"/>
      <c r="BI1562" s="10"/>
      <c r="BJ1562" s="10"/>
      <c r="BK1562" s="10"/>
      <c r="BL1562" s="10"/>
    </row>
    <row r="1563" spans="5:64" s="8" customFormat="1" x14ac:dyDescent="0.2">
      <c r="E1563" s="85"/>
      <c r="AR1563" s="10"/>
      <c r="AS1563" s="10"/>
      <c r="AT1563" s="10"/>
      <c r="AU1563" s="10"/>
      <c r="AV1563" s="10"/>
      <c r="AW1563" s="10"/>
      <c r="AX1563" s="10"/>
      <c r="AY1563" s="10"/>
      <c r="AZ1563" s="10"/>
      <c r="BA1563" s="10"/>
      <c r="BB1563" s="10"/>
      <c r="BC1563" s="10"/>
      <c r="BD1563" s="10"/>
      <c r="BE1563" s="10"/>
      <c r="BF1563" s="10"/>
      <c r="BG1563" s="10"/>
      <c r="BH1563" s="10"/>
      <c r="BI1563" s="10"/>
      <c r="BJ1563" s="10"/>
      <c r="BK1563" s="10"/>
      <c r="BL1563" s="10"/>
    </row>
    <row r="1564" spans="5:64" s="8" customFormat="1" x14ac:dyDescent="0.2">
      <c r="E1564" s="85"/>
      <c r="AR1564" s="10"/>
      <c r="AS1564" s="10"/>
      <c r="AT1564" s="10"/>
      <c r="AU1564" s="10"/>
      <c r="AV1564" s="10"/>
      <c r="AW1564" s="10"/>
      <c r="AX1564" s="10"/>
      <c r="AY1564" s="10"/>
      <c r="AZ1564" s="10"/>
      <c r="BA1564" s="10"/>
      <c r="BB1564" s="10"/>
      <c r="BC1564" s="10"/>
      <c r="BD1564" s="10"/>
      <c r="BE1564" s="10"/>
      <c r="BF1564" s="10"/>
      <c r="BG1564" s="10"/>
      <c r="BH1564" s="10"/>
      <c r="BI1564" s="10"/>
      <c r="BJ1564" s="10"/>
      <c r="BK1564" s="10"/>
      <c r="BL1564" s="10"/>
    </row>
    <row r="1565" spans="5:64" s="8" customFormat="1" x14ac:dyDescent="0.2">
      <c r="E1565" s="85"/>
      <c r="AR1565" s="10"/>
      <c r="AS1565" s="10"/>
      <c r="AT1565" s="10"/>
      <c r="AU1565" s="10"/>
      <c r="AV1565" s="10"/>
      <c r="AW1565" s="10"/>
      <c r="AX1565" s="10"/>
      <c r="AY1565" s="10"/>
      <c r="AZ1565" s="10"/>
      <c r="BA1565" s="10"/>
      <c r="BB1565" s="10"/>
      <c r="BC1565" s="10"/>
      <c r="BD1565" s="10"/>
      <c r="BE1565" s="10"/>
      <c r="BF1565" s="10"/>
      <c r="BG1565" s="10"/>
      <c r="BH1565" s="10"/>
      <c r="BI1565" s="10"/>
      <c r="BJ1565" s="10"/>
      <c r="BK1565" s="10"/>
      <c r="BL1565" s="10"/>
    </row>
    <row r="1566" spans="5:64" s="8" customFormat="1" x14ac:dyDescent="0.2">
      <c r="E1566" s="85"/>
      <c r="AR1566" s="10"/>
      <c r="AS1566" s="10"/>
      <c r="AT1566" s="10"/>
      <c r="AU1566" s="10"/>
      <c r="AV1566" s="10"/>
      <c r="AW1566" s="10"/>
      <c r="AX1566" s="10"/>
      <c r="AY1566" s="10"/>
      <c r="AZ1566" s="10"/>
      <c r="BA1566" s="10"/>
      <c r="BB1566" s="10"/>
      <c r="BC1566" s="10"/>
      <c r="BD1566" s="10"/>
      <c r="BE1566" s="10"/>
      <c r="BF1566" s="10"/>
      <c r="BG1566" s="10"/>
      <c r="BH1566" s="10"/>
      <c r="BI1566" s="10"/>
      <c r="BJ1566" s="10"/>
      <c r="BK1566" s="10"/>
      <c r="BL1566" s="10"/>
    </row>
  </sheetData>
  <sheetProtection algorithmName="SHA-512" hashValue="bU0/sYNgzDksECYbh2nAbEptYzaahunm+KyJnKXVH4zZ7NV0WIFUNB8p/LfOT+fXb46ksggZmWFcByJsKa4g0w==" saltValue="BQpmYf0tRBmq+gHKj4iYDg==" spinCount="100000" sheet="1" objects="1" scenarios="1" formatCells="0" formatColumns="0" formatRows="0"/>
  <mergeCells count="40">
    <mergeCell ref="B20:I20"/>
    <mergeCell ref="B5:I5"/>
    <mergeCell ref="B9:I9"/>
    <mergeCell ref="B10:I10"/>
    <mergeCell ref="B14:I14"/>
    <mergeCell ref="B19:I19"/>
    <mergeCell ref="B76:C76"/>
    <mergeCell ref="B21:I21"/>
    <mergeCell ref="B22:I22"/>
    <mergeCell ref="B23:I23"/>
    <mergeCell ref="B31:C31"/>
    <mergeCell ref="B55:D55"/>
    <mergeCell ref="B57:C57"/>
    <mergeCell ref="B64:I64"/>
    <mergeCell ref="B67:I67"/>
    <mergeCell ref="B68:I68"/>
    <mergeCell ref="B69:I69"/>
    <mergeCell ref="B70:I70"/>
    <mergeCell ref="B108:C108"/>
    <mergeCell ref="B80:C80"/>
    <mergeCell ref="B81:C81"/>
    <mergeCell ref="B82:C82"/>
    <mergeCell ref="B84:C84"/>
    <mergeCell ref="B88:C88"/>
    <mergeCell ref="B90:C90"/>
    <mergeCell ref="B92:C92"/>
    <mergeCell ref="B94:I94"/>
    <mergeCell ref="B96:C96"/>
    <mergeCell ref="B106:C106"/>
    <mergeCell ref="B132:C132"/>
    <mergeCell ref="B136:D136"/>
    <mergeCell ref="B138:D138"/>
    <mergeCell ref="B110:C110"/>
    <mergeCell ref="B128:C128"/>
    <mergeCell ref="B122:C122"/>
    <mergeCell ref="B124:C124"/>
    <mergeCell ref="B130:C130"/>
    <mergeCell ref="B118:C118"/>
    <mergeCell ref="B120:C120"/>
    <mergeCell ref="B126:C126"/>
  </mergeCells>
  <dataValidations count="4">
    <dataValidation type="list" allowBlank="1" showInputMessage="1" showErrorMessage="1" sqref="C36">
      <formula1>product</formula1>
    </dataValidation>
    <dataValidation type="list" allowBlank="1" showInputMessage="1" showErrorMessage="1" sqref="C47">
      <formula1>vapour_pressure</formula1>
    </dataValidation>
    <dataValidation type="list" allowBlank="1" showInputMessage="1" showErrorMessage="1" sqref="C45">
      <formula1>water_solubility</formula1>
    </dataValidation>
    <dataValidation type="list" allowBlank="1" showInputMessage="1" showErrorMessage="1" sqref="C78 C29">
      <formula1>plant_size</formula1>
    </dataValidation>
  </dataValidations>
  <hyperlinks>
    <hyperlink ref="B9" location="'PT8-automated spraying'!A__Emission_scenario_for_automated_spraying___product_application__ESD_Table_4.2__p.43" display="A) Emission scenario for automated spraying - product application (ESD Table 4.2, p.43)"/>
    <hyperlink ref="B10" location="'PT8-automated spraying'!B__Emission_scenario_for_automated_spraying___storage_of_treated_wood_prior_to_shipping___TIER_1__ESD_Table_4.3__p.44" display="B) Emission scenario for automated spraying - storage of treated wood prior to shipping - TIER 1 (ESD Table 4.3, p.44)"/>
    <hyperlink ref="B9:I9" location="'PT8-automated spraying'!A_Emission_scenario_for_automated_spraying_product_application" display="A) Emission scenario for automated spraying - product application (ESD Table 4.2, p.43)"/>
    <hyperlink ref="B10:I10" location="'PT8-automated spraying'!B_Emission_scenario_for_automated_spraying_storage" display="B) Emission scenario for automated spraying - storage of treated wood prior to shipping (including removal processes in the receiving environmental compartment - soil)  (ESD Table 4.3, p.44, Table 3.4, p.27)"/>
    <hyperlink ref="B142" location="'PT8-automated spraying'!A1" display="Go to the top of the page"/>
    <hyperlink ref="B61" location="'PT8-automated spraying'!A1" display="Go to the top of the pag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31"/>
  <sheetViews>
    <sheetView zoomScale="95" zoomScaleNormal="95" workbookViewId="0"/>
  </sheetViews>
  <sheetFormatPr defaultColWidth="8.75" defaultRowHeight="12.75" x14ac:dyDescent="0.2"/>
  <cols>
    <col min="1" max="1" width="1.625" style="8" customWidth="1"/>
    <col min="2" max="2" width="30.625" style="11" customWidth="1"/>
    <col min="3" max="3" width="35.625" style="11" customWidth="1"/>
    <col min="4" max="4" width="1.625" style="11" customWidth="1"/>
    <col min="5" max="5" width="20.625" style="91" customWidth="1"/>
    <col min="6" max="6" width="15.625" style="11" customWidth="1"/>
    <col min="7" max="8" width="10.625" style="11" customWidth="1"/>
    <col min="9" max="9" width="50.625" style="11" customWidth="1"/>
    <col min="10" max="12" width="15.625" style="8" customWidth="1"/>
    <col min="13" max="61" width="8.75" style="8"/>
    <col min="62" max="16384" width="8.75" style="11"/>
  </cols>
  <sheetData>
    <row r="1" spans="1:61" x14ac:dyDescent="0.2">
      <c r="A1" s="10"/>
      <c r="B1" s="10"/>
      <c r="C1" s="10"/>
      <c r="D1" s="10"/>
      <c r="E1" s="61"/>
      <c r="F1" s="10"/>
      <c r="G1" s="10"/>
      <c r="H1" s="10"/>
      <c r="I1" s="10"/>
      <c r="J1" s="10"/>
      <c r="K1" s="10"/>
      <c r="L1" s="10"/>
      <c r="M1" s="10"/>
    </row>
    <row r="2" spans="1:61" ht="20.25" x14ac:dyDescent="0.2">
      <c r="A2" s="10"/>
      <c r="B2" s="64" t="s">
        <v>35</v>
      </c>
      <c r="C2" s="65"/>
      <c r="D2" s="65"/>
      <c r="E2" s="66"/>
      <c r="F2" s="10"/>
      <c r="G2" s="10"/>
      <c r="H2" s="10"/>
      <c r="I2" s="10"/>
      <c r="J2" s="10"/>
      <c r="K2" s="10"/>
      <c r="L2" s="10"/>
      <c r="M2" s="10"/>
    </row>
    <row r="3" spans="1:61" x14ac:dyDescent="0.2">
      <c r="A3" s="10"/>
      <c r="B3" s="67"/>
      <c r="C3" s="67"/>
      <c r="D3" s="67"/>
      <c r="E3" s="68"/>
      <c r="F3" s="10"/>
      <c r="G3" s="10"/>
      <c r="H3" s="10"/>
      <c r="I3" s="10"/>
      <c r="J3" s="10"/>
      <c r="K3" s="10"/>
      <c r="L3" s="10"/>
      <c r="M3" s="10"/>
    </row>
    <row r="4" spans="1:61" x14ac:dyDescent="0.2">
      <c r="A4" s="10"/>
      <c r="B4" s="67"/>
      <c r="C4" s="67"/>
      <c r="D4" s="67"/>
      <c r="E4" s="68"/>
      <c r="F4" s="10"/>
      <c r="G4" s="10"/>
      <c r="H4" s="10"/>
      <c r="I4" s="10"/>
      <c r="J4" s="10"/>
      <c r="K4" s="10"/>
      <c r="L4" s="10"/>
      <c r="M4" s="10"/>
    </row>
    <row r="5" spans="1:61" ht="18" x14ac:dyDescent="0.2">
      <c r="A5" s="10"/>
      <c r="B5" s="55" t="s">
        <v>496</v>
      </c>
      <c r="C5" s="5"/>
      <c r="D5" s="5"/>
      <c r="E5" s="21"/>
      <c r="F5" s="71"/>
      <c r="G5" s="71"/>
      <c r="H5" s="71"/>
      <c r="I5" s="72"/>
      <c r="J5" s="10"/>
      <c r="K5" s="10"/>
      <c r="L5" s="10"/>
      <c r="BI5" s="11"/>
    </row>
    <row r="6" spans="1:61" s="75" customFormat="1" ht="13.5" thickBot="1" x14ac:dyDescent="0.25">
      <c r="A6" s="73"/>
      <c r="B6" s="33"/>
      <c r="C6" s="33"/>
      <c r="D6" s="33"/>
      <c r="E6" s="40"/>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1" s="75" customFormat="1" ht="14.25" x14ac:dyDescent="0.2">
      <c r="A7" s="73"/>
      <c r="B7" s="172" t="s">
        <v>494</v>
      </c>
      <c r="C7" s="173"/>
      <c r="D7" s="173"/>
      <c r="E7" s="174"/>
      <c r="F7" s="175"/>
      <c r="G7" s="175"/>
      <c r="H7" s="175"/>
      <c r="I7" s="1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1" s="75" customFormat="1" x14ac:dyDescent="0.2">
      <c r="A8" s="73"/>
      <c r="B8" s="177"/>
      <c r="C8" s="33"/>
      <c r="D8" s="33"/>
      <c r="E8" s="40"/>
      <c r="F8" s="73"/>
      <c r="G8" s="73"/>
      <c r="H8" s="73"/>
      <c r="I8" s="149"/>
      <c r="J8" s="73"/>
      <c r="K8" s="73"/>
      <c r="L8" s="73"/>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1:61" s="75" customFormat="1" ht="12.75" customHeight="1" x14ac:dyDescent="0.2">
      <c r="A9" s="73"/>
      <c r="B9" s="369" t="s">
        <v>114</v>
      </c>
      <c r="C9" s="370"/>
      <c r="D9" s="370"/>
      <c r="E9" s="370"/>
      <c r="F9" s="370"/>
      <c r="G9" s="370"/>
      <c r="H9" s="370"/>
      <c r="I9" s="371"/>
      <c r="J9" s="73"/>
      <c r="K9" s="73"/>
      <c r="L9" s="73"/>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1" s="75" customFormat="1" ht="30" customHeight="1" x14ac:dyDescent="0.2">
      <c r="A10" s="73"/>
      <c r="B10" s="369" t="s">
        <v>552</v>
      </c>
      <c r="C10" s="370"/>
      <c r="D10" s="370"/>
      <c r="E10" s="370"/>
      <c r="F10" s="370"/>
      <c r="G10" s="370"/>
      <c r="H10" s="370"/>
      <c r="I10" s="371"/>
      <c r="J10" s="73"/>
      <c r="K10" s="73"/>
      <c r="L10" s="73"/>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61" s="75" customFormat="1" ht="13.5" thickBot="1" x14ac:dyDescent="0.25">
      <c r="A11" s="73"/>
      <c r="B11" s="178"/>
      <c r="C11" s="179"/>
      <c r="D11" s="179"/>
      <c r="E11" s="180"/>
      <c r="F11" s="181"/>
      <c r="G11" s="181"/>
      <c r="H11" s="181"/>
      <c r="I11" s="150"/>
      <c r="J11" s="73"/>
      <c r="K11" s="73"/>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61" s="75" customFormat="1" x14ac:dyDescent="0.2">
      <c r="A12" s="73"/>
      <c r="B12" s="33"/>
      <c r="C12" s="33"/>
      <c r="D12" s="33"/>
      <c r="E12" s="40"/>
      <c r="F12" s="73"/>
      <c r="G12" s="73"/>
      <c r="H12" s="73"/>
      <c r="I12" s="73"/>
      <c r="J12" s="73"/>
      <c r="K12" s="73"/>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61" s="75" customFormat="1" ht="14.25" x14ac:dyDescent="0.2">
      <c r="A13" s="73"/>
      <c r="B13" s="56" t="s">
        <v>493</v>
      </c>
      <c r="C13" s="57"/>
      <c r="D13" s="57"/>
      <c r="E13" s="58"/>
      <c r="F13" s="76"/>
      <c r="G13" s="76"/>
      <c r="H13" s="76"/>
      <c r="I13" s="76"/>
      <c r="J13" s="73"/>
      <c r="K13" s="73"/>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row>
    <row r="14" spans="1:61" s="8" customFormat="1" ht="33" customHeight="1" x14ac:dyDescent="0.2">
      <c r="B14" s="372" t="s">
        <v>301</v>
      </c>
      <c r="C14" s="372"/>
      <c r="D14" s="372"/>
      <c r="E14" s="372"/>
      <c r="F14" s="372"/>
      <c r="G14" s="372"/>
      <c r="H14" s="372"/>
      <c r="I14" s="372"/>
      <c r="J14" s="42"/>
      <c r="K14" s="42"/>
      <c r="L14" s="42"/>
    </row>
    <row r="15" spans="1:61" s="79" customFormat="1" ht="15" x14ac:dyDescent="0.2">
      <c r="A15" s="77"/>
      <c r="B15" s="33"/>
      <c r="C15" s="37"/>
      <c r="D15" s="37"/>
      <c r="E15" s="38"/>
      <c r="F15" s="78"/>
      <c r="G15" s="78"/>
      <c r="H15" s="78"/>
      <c r="I15" s="77"/>
      <c r="J15" s="77"/>
      <c r="K15" s="77"/>
      <c r="L15" s="77"/>
    </row>
    <row r="16" spans="1:61" ht="15" x14ac:dyDescent="0.2">
      <c r="A16" s="10"/>
      <c r="B16" s="59" t="s">
        <v>114</v>
      </c>
      <c r="C16" s="80"/>
      <c r="D16" s="81"/>
      <c r="E16" s="81"/>
      <c r="F16" s="10"/>
      <c r="G16" s="10"/>
      <c r="H16" s="10"/>
      <c r="I16" s="10"/>
      <c r="J16" s="10"/>
      <c r="K16" s="10"/>
      <c r="BH16" s="11"/>
      <c r="BI16" s="11"/>
    </row>
    <row r="17" spans="1:65" ht="15" x14ac:dyDescent="0.2">
      <c r="A17" s="10"/>
      <c r="B17" s="73"/>
      <c r="C17" s="18"/>
      <c r="D17" s="31"/>
      <c r="E17" s="31"/>
      <c r="F17" s="31"/>
      <c r="G17" s="31"/>
      <c r="H17" s="31"/>
      <c r="I17" s="31"/>
      <c r="J17" s="10"/>
      <c r="K17" s="10"/>
      <c r="L17" s="10"/>
      <c r="M17" s="10"/>
    </row>
    <row r="18" spans="1:65" x14ac:dyDescent="0.2">
      <c r="A18" s="10"/>
      <c r="B18" s="82" t="s">
        <v>19</v>
      </c>
      <c r="C18" s="82"/>
      <c r="D18" s="82"/>
      <c r="E18" s="77"/>
      <c r="F18" s="77"/>
      <c r="G18" s="77"/>
      <c r="H18" s="77"/>
      <c r="I18" s="83"/>
      <c r="AS18" s="11"/>
      <c r="AT18" s="11"/>
      <c r="AU18" s="11"/>
      <c r="AV18" s="11"/>
      <c r="AW18" s="11"/>
      <c r="AX18" s="11"/>
      <c r="AY18" s="11"/>
      <c r="AZ18" s="11"/>
      <c r="BA18" s="11"/>
      <c r="BB18" s="11"/>
      <c r="BC18" s="11"/>
      <c r="BD18" s="11"/>
      <c r="BE18" s="11"/>
      <c r="BF18" s="11"/>
      <c r="BG18" s="11"/>
      <c r="BH18" s="11"/>
      <c r="BI18" s="11"/>
    </row>
    <row r="19" spans="1:65" ht="15.75" customHeight="1" x14ac:dyDescent="0.2">
      <c r="A19" s="10"/>
      <c r="B19" s="366" t="s">
        <v>121</v>
      </c>
      <c r="C19" s="366"/>
      <c r="D19" s="366"/>
      <c r="E19" s="366"/>
      <c r="F19" s="366"/>
      <c r="G19" s="366"/>
      <c r="H19" s="366"/>
      <c r="I19" s="366"/>
      <c r="AS19" s="11"/>
      <c r="AT19" s="11"/>
      <c r="AU19" s="11"/>
      <c r="AV19" s="11"/>
      <c r="AW19" s="11"/>
      <c r="AX19" s="11"/>
      <c r="AY19" s="11"/>
      <c r="AZ19" s="11"/>
      <c r="BA19" s="11"/>
      <c r="BB19" s="11"/>
      <c r="BC19" s="11"/>
      <c r="BD19" s="11"/>
      <c r="BE19" s="11"/>
      <c r="BF19" s="11"/>
      <c r="BG19" s="11"/>
      <c r="BH19" s="11"/>
      <c r="BI19" s="11"/>
    </row>
    <row r="20" spans="1:65" x14ac:dyDescent="0.2">
      <c r="A20" s="10"/>
      <c r="B20" s="366" t="s">
        <v>959</v>
      </c>
      <c r="C20" s="366"/>
      <c r="D20" s="366"/>
      <c r="E20" s="366"/>
      <c r="F20" s="366"/>
      <c r="G20" s="366"/>
      <c r="H20" s="366"/>
      <c r="I20" s="366"/>
      <c r="J20" s="10"/>
      <c r="K20" s="10"/>
      <c r="L20" s="10"/>
      <c r="M20" s="10"/>
      <c r="N20" s="10"/>
      <c r="O20" s="10"/>
      <c r="P20" s="10"/>
      <c r="Q20" s="10"/>
      <c r="BJ20" s="8"/>
      <c r="BK20" s="8"/>
      <c r="BL20" s="8"/>
      <c r="BM20" s="8"/>
    </row>
    <row r="21" spans="1:65" x14ac:dyDescent="0.2">
      <c r="A21" s="10"/>
      <c r="B21" s="366" t="s">
        <v>122</v>
      </c>
      <c r="C21" s="366"/>
      <c r="D21" s="366"/>
      <c r="E21" s="366"/>
      <c r="F21" s="366"/>
      <c r="G21" s="366"/>
      <c r="H21" s="366"/>
      <c r="I21" s="366"/>
      <c r="J21" s="10"/>
      <c r="K21" s="10"/>
      <c r="L21" s="10"/>
      <c r="M21" s="10"/>
      <c r="N21" s="10"/>
      <c r="O21" s="10"/>
      <c r="P21" s="10"/>
      <c r="Q21" s="10"/>
      <c r="BJ21" s="8"/>
      <c r="BK21" s="8"/>
      <c r="BL21" s="8"/>
      <c r="BM21" s="8"/>
    </row>
    <row r="22" spans="1:65" x14ac:dyDescent="0.2">
      <c r="A22" s="10"/>
      <c r="B22" s="366" t="s">
        <v>960</v>
      </c>
      <c r="C22" s="366"/>
      <c r="D22" s="366"/>
      <c r="E22" s="366"/>
      <c r="F22" s="366"/>
      <c r="G22" s="366"/>
      <c r="H22" s="366"/>
      <c r="I22" s="366"/>
      <c r="J22" s="10"/>
      <c r="K22" s="10"/>
      <c r="L22" s="10"/>
      <c r="M22" s="10"/>
      <c r="N22" s="10"/>
      <c r="O22" s="10"/>
      <c r="P22" s="10"/>
      <c r="Q22" s="10"/>
      <c r="BJ22" s="8"/>
      <c r="BK22" s="8"/>
      <c r="BL22" s="8"/>
      <c r="BM22" s="8"/>
    </row>
    <row r="23" spans="1:65" s="8" customFormat="1" ht="3" customHeight="1" x14ac:dyDescent="0.2">
      <c r="A23" s="10"/>
      <c r="D23" s="31"/>
      <c r="E23" s="32"/>
      <c r="F23" s="84"/>
      <c r="G23" s="84"/>
      <c r="H23" s="84"/>
      <c r="I23" s="10"/>
      <c r="J23" s="10"/>
      <c r="K23" s="10"/>
      <c r="L23" s="10"/>
    </row>
    <row r="24" spans="1:65" ht="15" x14ac:dyDescent="0.2">
      <c r="A24" s="10"/>
      <c r="B24" s="4" t="s">
        <v>0</v>
      </c>
      <c r="C24" s="4"/>
      <c r="D24" s="4"/>
      <c r="E24" s="12"/>
      <c r="F24" s="12"/>
      <c r="G24" s="12"/>
      <c r="H24" s="12"/>
      <c r="I24" s="13"/>
      <c r="AS24" s="11"/>
      <c r="AT24" s="11"/>
      <c r="AU24" s="11"/>
      <c r="AV24" s="11"/>
      <c r="AW24" s="11"/>
      <c r="AX24" s="11"/>
      <c r="AY24" s="11"/>
      <c r="AZ24" s="11"/>
      <c r="BA24" s="11"/>
      <c r="BB24" s="11"/>
      <c r="BC24" s="11"/>
      <c r="BD24" s="11"/>
      <c r="BE24" s="11"/>
      <c r="BF24" s="11"/>
      <c r="BG24" s="11"/>
      <c r="BH24" s="11"/>
      <c r="BI24" s="11"/>
    </row>
    <row r="25" spans="1:65" x14ac:dyDescent="0.2">
      <c r="A25" s="10"/>
      <c r="B25" s="6"/>
      <c r="C25" s="6"/>
      <c r="D25" s="6"/>
      <c r="E25" s="6"/>
      <c r="F25" s="6"/>
      <c r="G25" s="6"/>
      <c r="H25" s="6"/>
      <c r="I25" s="22"/>
      <c r="AS25" s="11"/>
      <c r="AT25" s="11"/>
      <c r="AU25" s="11"/>
      <c r="AV25" s="11"/>
      <c r="AW25" s="11"/>
      <c r="AX25" s="11"/>
      <c r="AY25" s="11"/>
      <c r="AZ25" s="11"/>
      <c r="BA25" s="11"/>
      <c r="BB25" s="11"/>
      <c r="BC25" s="11"/>
      <c r="BD25" s="11"/>
      <c r="BE25" s="11"/>
      <c r="BF25" s="11"/>
      <c r="BG25" s="11"/>
      <c r="BH25" s="11"/>
      <c r="BI25" s="11"/>
    </row>
    <row r="26" spans="1:65" ht="15" x14ac:dyDescent="0.2">
      <c r="A26" s="10"/>
      <c r="B26" s="14" t="s">
        <v>2</v>
      </c>
      <c r="C26" s="14"/>
      <c r="D26" s="14"/>
      <c r="E26" s="15" t="s">
        <v>4</v>
      </c>
      <c r="F26" s="16" t="s">
        <v>7</v>
      </c>
      <c r="G26" s="16" t="s">
        <v>3</v>
      </c>
      <c r="H26" s="16" t="s">
        <v>11</v>
      </c>
      <c r="I26" s="15" t="s">
        <v>34</v>
      </c>
      <c r="AS26" s="11"/>
      <c r="AT26" s="11"/>
      <c r="AU26" s="11"/>
      <c r="AV26" s="11"/>
      <c r="AW26" s="11"/>
      <c r="AX26" s="11"/>
      <c r="AY26" s="11"/>
      <c r="AZ26" s="11"/>
      <c r="BA26" s="11"/>
      <c r="BB26" s="11"/>
      <c r="BC26" s="11"/>
      <c r="BD26" s="11"/>
      <c r="BE26" s="11"/>
      <c r="BF26" s="11"/>
      <c r="BG26" s="11"/>
      <c r="BH26" s="11"/>
      <c r="BI26" s="11"/>
    </row>
    <row r="27" spans="1:65" x14ac:dyDescent="0.2">
      <c r="A27" s="10"/>
      <c r="B27" s="44"/>
      <c r="C27" s="14"/>
      <c r="D27" s="14"/>
      <c r="E27" s="15"/>
      <c r="F27" s="16"/>
      <c r="G27" s="16"/>
      <c r="H27" s="16"/>
      <c r="I27" s="15"/>
      <c r="AS27" s="11"/>
      <c r="AT27" s="11"/>
      <c r="AU27" s="11"/>
      <c r="AV27" s="11"/>
      <c r="AW27" s="11"/>
      <c r="AX27" s="11"/>
      <c r="AY27" s="11"/>
      <c r="AZ27" s="11"/>
      <c r="BA27" s="11"/>
      <c r="BB27" s="11"/>
      <c r="BC27" s="11"/>
      <c r="BD27" s="11"/>
      <c r="BE27" s="11"/>
      <c r="BF27" s="11"/>
      <c r="BG27" s="11"/>
      <c r="BH27" s="11"/>
      <c r="BI27" s="11"/>
    </row>
    <row r="28" spans="1:65" ht="15" x14ac:dyDescent="0.2">
      <c r="A28" s="10"/>
      <c r="B28" s="362" t="s">
        <v>115</v>
      </c>
      <c r="C28" s="362"/>
      <c r="D28" s="9"/>
      <c r="E28" s="6" t="s">
        <v>116</v>
      </c>
      <c r="F28" s="273">
        <v>100</v>
      </c>
      <c r="G28" s="7" t="s">
        <v>28</v>
      </c>
      <c r="H28" s="7" t="s">
        <v>13</v>
      </c>
      <c r="I28" s="22"/>
      <c r="AS28" s="11"/>
      <c r="AT28" s="11"/>
      <c r="AU28" s="11"/>
      <c r="AV28" s="11"/>
      <c r="AW28" s="11"/>
      <c r="AX28" s="11"/>
      <c r="AY28" s="11"/>
      <c r="AZ28" s="11"/>
      <c r="BA28" s="11"/>
      <c r="BB28" s="11"/>
      <c r="BC28" s="11"/>
      <c r="BD28" s="11"/>
      <c r="BE28" s="11"/>
      <c r="BF28" s="11"/>
      <c r="BG28" s="11"/>
      <c r="BH28" s="11"/>
      <c r="BI28" s="11"/>
    </row>
    <row r="29" spans="1:65" s="8" customFormat="1" ht="5.0999999999999996" customHeight="1" x14ac:dyDescent="0.2">
      <c r="B29" s="44"/>
      <c r="C29" s="44"/>
      <c r="D29" s="30"/>
      <c r="E29" s="22"/>
      <c r="F29" s="273"/>
      <c r="G29" s="7"/>
      <c r="H29" s="7"/>
      <c r="I29" s="22"/>
    </row>
    <row r="30" spans="1:65" s="8" customFormat="1" ht="42.75" x14ac:dyDescent="0.2">
      <c r="B30" s="362" t="s">
        <v>117</v>
      </c>
      <c r="C30" s="362"/>
      <c r="D30" s="30"/>
      <c r="E30" s="22" t="s">
        <v>48</v>
      </c>
      <c r="F30" s="274"/>
      <c r="G30" s="7" t="s">
        <v>118</v>
      </c>
      <c r="H30" s="7" t="s">
        <v>6</v>
      </c>
      <c r="I30" s="146" t="s">
        <v>941</v>
      </c>
    </row>
    <row r="31" spans="1:65" s="8" customFormat="1" ht="5.0999999999999996" customHeight="1" thickBot="1" x14ac:dyDescent="0.25">
      <c r="B31" s="44"/>
      <c r="C31" s="44"/>
      <c r="D31" s="44"/>
      <c r="E31" s="30"/>
      <c r="F31" s="7"/>
      <c r="G31" s="7"/>
      <c r="H31" s="7"/>
      <c r="I31" s="34"/>
    </row>
    <row r="32" spans="1:65" s="8" customFormat="1" ht="17.25" thickTop="1" thickBot="1" x14ac:dyDescent="0.25">
      <c r="B32" s="30" t="s">
        <v>954</v>
      </c>
      <c r="C32" s="313" t="s">
        <v>659</v>
      </c>
      <c r="D32" s="30"/>
      <c r="E32" s="22" t="s">
        <v>955</v>
      </c>
      <c r="F32" s="23" t="str">
        <f>INDEX('Pick-lists &amp; Defaults'!C20:C25,MATCH(C32,water_solubility,0))</f>
        <v>??</v>
      </c>
      <c r="G32" s="7" t="s">
        <v>5</v>
      </c>
      <c r="H32" s="7" t="s">
        <v>22</v>
      </c>
      <c r="I32" s="34" t="s">
        <v>140</v>
      </c>
    </row>
    <row r="33" spans="1:61" s="8" customFormat="1" ht="5.0999999999999996" customHeight="1" thickTop="1" thickBot="1" x14ac:dyDescent="0.25">
      <c r="B33" s="44"/>
      <c r="C33" s="44"/>
      <c r="D33" s="44"/>
      <c r="E33" s="30"/>
      <c r="F33" s="22"/>
      <c r="G33" s="7"/>
      <c r="H33" s="7"/>
      <c r="I33" s="7"/>
    </row>
    <row r="34" spans="1:61" s="8" customFormat="1" ht="27" thickTop="1" thickBot="1" x14ac:dyDescent="0.25">
      <c r="B34" s="44" t="s">
        <v>31</v>
      </c>
      <c r="C34" s="313" t="s">
        <v>61</v>
      </c>
      <c r="D34" s="44"/>
      <c r="E34" s="30" t="s">
        <v>33</v>
      </c>
      <c r="F34" s="23" t="str">
        <f>INDEX('Pick-lists &amp; Defaults'!C29:C35,MATCH(C34,vapour_pressure,0))</f>
        <v>??</v>
      </c>
      <c r="G34" s="7" t="s">
        <v>5</v>
      </c>
      <c r="H34" s="7" t="s">
        <v>22</v>
      </c>
      <c r="I34" s="294" t="s">
        <v>740</v>
      </c>
    </row>
    <row r="35" spans="1:61" s="8" customFormat="1" ht="13.5" thickTop="1" x14ac:dyDescent="0.2">
      <c r="B35" s="44"/>
      <c r="C35" s="44"/>
      <c r="D35" s="44"/>
      <c r="E35" s="30"/>
      <c r="F35" s="22"/>
      <c r="G35" s="7"/>
      <c r="H35" s="7"/>
      <c r="I35" s="7"/>
    </row>
    <row r="36" spans="1:61" ht="15" x14ac:dyDescent="0.2">
      <c r="A36" s="10"/>
      <c r="B36" s="4" t="s">
        <v>1</v>
      </c>
      <c r="C36" s="4"/>
      <c r="D36" s="4"/>
      <c r="E36" s="4"/>
      <c r="F36" s="12"/>
      <c r="G36" s="12"/>
      <c r="H36" s="12"/>
      <c r="I36" s="12"/>
      <c r="AT36" s="11"/>
      <c r="AU36" s="11"/>
      <c r="AV36" s="11"/>
      <c r="AW36" s="11"/>
      <c r="AX36" s="11"/>
      <c r="AY36" s="11"/>
      <c r="AZ36" s="11"/>
      <c r="BA36" s="11"/>
      <c r="BB36" s="11"/>
      <c r="BC36" s="11"/>
      <c r="BD36" s="11"/>
      <c r="BE36" s="11"/>
      <c r="BF36" s="11"/>
      <c r="BG36" s="11"/>
      <c r="BH36" s="11"/>
      <c r="BI36" s="11"/>
    </row>
    <row r="37" spans="1:61" x14ac:dyDescent="0.2">
      <c r="A37" s="10"/>
      <c r="B37" s="6"/>
      <c r="C37" s="6"/>
      <c r="D37" s="6"/>
      <c r="E37" s="6"/>
      <c r="F37" s="6"/>
      <c r="G37" s="6"/>
      <c r="H37" s="6"/>
      <c r="I37" s="6"/>
      <c r="AT37" s="11"/>
      <c r="AU37" s="11"/>
      <c r="AV37" s="11"/>
      <c r="AW37" s="11"/>
      <c r="AX37" s="11"/>
      <c r="AY37" s="11"/>
      <c r="AZ37" s="11"/>
      <c r="BA37" s="11"/>
      <c r="BB37" s="11"/>
      <c r="BC37" s="11"/>
      <c r="BD37" s="11"/>
      <c r="BE37" s="11"/>
      <c r="BF37" s="11"/>
      <c r="BG37" s="11"/>
      <c r="BH37" s="11"/>
      <c r="BI37" s="11"/>
    </row>
    <row r="38" spans="1:61" ht="15" x14ac:dyDescent="0.2">
      <c r="A38" s="10"/>
      <c r="B38" s="14" t="s">
        <v>2</v>
      </c>
      <c r="C38" s="14"/>
      <c r="D38" s="14"/>
      <c r="E38" s="15" t="s">
        <v>4</v>
      </c>
      <c r="F38" s="16" t="s">
        <v>7</v>
      </c>
      <c r="G38" s="16" t="s">
        <v>3</v>
      </c>
      <c r="H38" s="16" t="s">
        <v>11</v>
      </c>
      <c r="I38" s="15" t="s">
        <v>34</v>
      </c>
      <c r="AT38" s="11"/>
      <c r="AU38" s="11"/>
      <c r="AV38" s="11"/>
      <c r="AW38" s="11"/>
      <c r="AX38" s="11"/>
      <c r="AY38" s="11"/>
      <c r="AZ38" s="11"/>
      <c r="BA38" s="11"/>
      <c r="BB38" s="11"/>
      <c r="BC38" s="11"/>
      <c r="BD38" s="11"/>
      <c r="BE38" s="11"/>
      <c r="BF38" s="11"/>
      <c r="BG38" s="11"/>
      <c r="BH38" s="11"/>
      <c r="BI38" s="11"/>
    </row>
    <row r="39" spans="1:61" x14ac:dyDescent="0.2">
      <c r="A39" s="10"/>
      <c r="B39" s="17"/>
      <c r="C39" s="17"/>
      <c r="D39" s="17"/>
      <c r="E39" s="17"/>
      <c r="F39" s="17"/>
      <c r="G39" s="17"/>
      <c r="H39" s="17"/>
      <c r="I39" s="22"/>
      <c r="AT39" s="11"/>
      <c r="AU39" s="11"/>
      <c r="AV39" s="11"/>
      <c r="AW39" s="11"/>
      <c r="AX39" s="11"/>
      <c r="AY39" s="11"/>
      <c r="AZ39" s="11"/>
      <c r="BA39" s="11"/>
      <c r="BB39" s="11"/>
      <c r="BC39" s="11"/>
      <c r="BD39" s="11"/>
      <c r="BE39" s="11"/>
      <c r="BF39" s="11"/>
      <c r="BG39" s="11"/>
      <c r="BH39" s="11"/>
      <c r="BI39" s="11"/>
    </row>
    <row r="40" spans="1:61" s="8" customFormat="1" ht="15" x14ac:dyDescent="0.2">
      <c r="A40" s="10"/>
      <c r="B40" s="362" t="s">
        <v>951</v>
      </c>
      <c r="C40" s="362"/>
      <c r="D40" s="30"/>
      <c r="E40" s="30" t="s">
        <v>63</v>
      </c>
      <c r="F40" s="228" t="str">
        <f>IF(AND(ISNUMBER(Qai),ISNUMBER(Fair)),Qai*VOLUMEwood_treated*Fair,"??")</f>
        <v>??</v>
      </c>
      <c r="G40" s="7" t="s">
        <v>21</v>
      </c>
      <c r="H40" s="7" t="s">
        <v>8</v>
      </c>
      <c r="I40" s="20" t="s">
        <v>120</v>
      </c>
    </row>
    <row r="41" spans="1:61" s="8" customFormat="1" ht="5.0999999999999996" customHeight="1" x14ac:dyDescent="0.2">
      <c r="A41" s="10"/>
      <c r="B41" s="44"/>
      <c r="C41" s="44"/>
      <c r="D41" s="44"/>
      <c r="E41" s="30"/>
      <c r="F41" s="30"/>
      <c r="G41" s="7"/>
      <c r="H41" s="7"/>
      <c r="I41" s="20"/>
    </row>
    <row r="42" spans="1:61" s="8" customFormat="1" ht="15" x14ac:dyDescent="0.2">
      <c r="A42" s="10"/>
      <c r="B42" s="362" t="s">
        <v>952</v>
      </c>
      <c r="C42" s="362"/>
      <c r="D42" s="44"/>
      <c r="E42" s="30" t="s">
        <v>953</v>
      </c>
      <c r="F42" s="228" t="str">
        <f>IF(AND(ISNUMBER(Qai),ISNUMBER(Ffacilitydrain)),Qai*VOLUMEwood_treated*Ffacilitydrain,"??")</f>
        <v>??</v>
      </c>
      <c r="G42" s="7" t="s">
        <v>21</v>
      </c>
      <c r="H42" s="7" t="s">
        <v>8</v>
      </c>
      <c r="I42" s="141" t="s">
        <v>961</v>
      </c>
    </row>
    <row r="43" spans="1:61" s="8" customFormat="1" x14ac:dyDescent="0.2">
      <c r="A43" s="10"/>
      <c r="B43" s="44"/>
      <c r="C43" s="44"/>
      <c r="D43" s="44"/>
      <c r="E43" s="30"/>
      <c r="F43" s="30"/>
      <c r="G43" s="7"/>
      <c r="H43" s="7"/>
      <c r="I43" s="20"/>
    </row>
    <row r="44" spans="1:61" s="8" customFormat="1" x14ac:dyDescent="0.2">
      <c r="B44" s="86" t="s">
        <v>12</v>
      </c>
      <c r="C44" s="86"/>
      <c r="F44" s="87"/>
      <c r="G44" s="88"/>
      <c r="H44" s="74"/>
      <c r="I44" s="85"/>
    </row>
    <row r="45" spans="1:61" s="8" customFormat="1" x14ac:dyDescent="0.2">
      <c r="B45" s="86"/>
      <c r="G45" s="89"/>
      <c r="H45" s="74"/>
      <c r="I45" s="85"/>
    </row>
    <row r="46" spans="1:61" s="8" customFormat="1" x14ac:dyDescent="0.2">
      <c r="B46" s="307" t="s">
        <v>818</v>
      </c>
      <c r="G46" s="89"/>
      <c r="H46" s="74"/>
      <c r="I46" s="85"/>
    </row>
    <row r="47" spans="1:61" s="8" customFormat="1" x14ac:dyDescent="0.2">
      <c r="B47" s="93"/>
      <c r="G47" s="89"/>
      <c r="H47" s="74"/>
      <c r="I47" s="85"/>
    </row>
    <row r="48" spans="1:61" ht="36.75" customHeight="1" x14ac:dyDescent="0.2">
      <c r="A48" s="10"/>
      <c r="B48" s="374" t="s">
        <v>552</v>
      </c>
      <c r="C48" s="374"/>
      <c r="D48" s="374"/>
      <c r="E48" s="374"/>
      <c r="F48" s="374"/>
      <c r="G48" s="374"/>
      <c r="H48" s="374"/>
      <c r="I48" s="374"/>
      <c r="J48" s="10"/>
      <c r="K48" s="10"/>
      <c r="BH48" s="11"/>
      <c r="BI48" s="11"/>
    </row>
    <row r="49" spans="1:66" ht="15" x14ac:dyDescent="0.2">
      <c r="A49" s="10"/>
      <c r="B49" s="73"/>
      <c r="C49" s="80"/>
      <c r="D49" s="81"/>
      <c r="E49" s="81"/>
      <c r="F49" s="10"/>
      <c r="G49" s="10"/>
      <c r="H49" s="10"/>
      <c r="I49" s="10"/>
      <c r="J49" s="10"/>
      <c r="K49" s="10"/>
      <c r="BH49" s="11"/>
      <c r="BI49" s="11"/>
    </row>
    <row r="50" spans="1:66" x14ac:dyDescent="0.2">
      <c r="A50" s="10"/>
      <c r="B50" s="82" t="s">
        <v>19</v>
      </c>
      <c r="C50" s="82"/>
      <c r="D50" s="82"/>
      <c r="E50" s="77"/>
      <c r="F50" s="77"/>
      <c r="G50" s="77"/>
      <c r="H50" s="77"/>
      <c r="I50" s="83"/>
      <c r="AS50" s="11"/>
      <c r="AT50" s="11"/>
      <c r="AU50" s="11"/>
      <c r="AV50" s="11"/>
      <c r="AW50" s="11"/>
      <c r="AX50" s="11"/>
      <c r="AY50" s="11"/>
      <c r="AZ50" s="11"/>
      <c r="BA50" s="11"/>
      <c r="BB50" s="11"/>
      <c r="BC50" s="11"/>
      <c r="BD50" s="11"/>
      <c r="BE50" s="11"/>
      <c r="BF50" s="11"/>
      <c r="BG50" s="11"/>
      <c r="BH50" s="11"/>
      <c r="BI50" s="11"/>
    </row>
    <row r="51" spans="1:66" ht="15" customHeight="1" x14ac:dyDescent="0.2">
      <c r="A51" s="10"/>
      <c r="B51" s="366" t="s">
        <v>533</v>
      </c>
      <c r="C51" s="366"/>
      <c r="D51" s="366"/>
      <c r="E51" s="366"/>
      <c r="F51" s="366"/>
      <c r="G51" s="366"/>
      <c r="H51" s="366"/>
      <c r="I51" s="366"/>
      <c r="AS51" s="11"/>
      <c r="AT51" s="11"/>
      <c r="AU51" s="11"/>
      <c r="AV51" s="11"/>
      <c r="AW51" s="11"/>
      <c r="AX51" s="11"/>
      <c r="AY51" s="11"/>
      <c r="AZ51" s="11"/>
      <c r="BA51" s="11"/>
      <c r="BB51" s="11"/>
      <c r="BC51" s="11"/>
      <c r="BD51" s="11"/>
      <c r="BE51" s="11"/>
      <c r="BF51" s="11"/>
      <c r="BG51" s="11"/>
      <c r="BH51" s="11"/>
      <c r="BI51" s="11"/>
    </row>
    <row r="52" spans="1:66" ht="15" customHeight="1" x14ac:dyDescent="0.2">
      <c r="A52" s="10"/>
      <c r="B52" s="366" t="s">
        <v>947</v>
      </c>
      <c r="C52" s="366"/>
      <c r="D52" s="366"/>
      <c r="E52" s="366"/>
      <c r="F52" s="366"/>
      <c r="G52" s="366"/>
      <c r="H52" s="366"/>
      <c r="I52" s="366"/>
      <c r="J52" s="366"/>
      <c r="K52" s="366"/>
      <c r="L52" s="10"/>
      <c r="M52" s="10"/>
      <c r="N52" s="10"/>
      <c r="O52" s="10"/>
      <c r="P52" s="10"/>
      <c r="Q52" s="10"/>
      <c r="R52" s="10"/>
      <c r="AT52" s="10"/>
      <c r="AU52" s="10"/>
      <c r="AV52" s="10"/>
      <c r="AW52" s="10"/>
      <c r="AX52" s="10"/>
      <c r="AY52" s="10"/>
      <c r="AZ52" s="10"/>
      <c r="BA52" s="10"/>
      <c r="BB52" s="10"/>
      <c r="BC52" s="10"/>
      <c r="BD52" s="10"/>
      <c r="BE52" s="10"/>
      <c r="BF52" s="10"/>
      <c r="BG52" s="10"/>
      <c r="BH52" s="10"/>
      <c r="BI52" s="10"/>
      <c r="BJ52" s="10"/>
      <c r="BK52" s="10"/>
      <c r="BL52" s="10"/>
      <c r="BM52" s="10"/>
      <c r="BN52" s="10"/>
    </row>
    <row r="53" spans="1:66" x14ac:dyDescent="0.2">
      <c r="A53" s="10"/>
      <c r="B53" s="366" t="s">
        <v>948</v>
      </c>
      <c r="C53" s="366"/>
      <c r="D53" s="366"/>
      <c r="E53" s="366"/>
      <c r="F53" s="366"/>
      <c r="G53" s="366"/>
      <c r="H53" s="366"/>
      <c r="I53" s="366"/>
      <c r="J53" s="116"/>
      <c r="K53" s="116"/>
      <c r="AT53" s="10"/>
      <c r="AU53" s="10"/>
      <c r="AV53" s="10"/>
      <c r="AW53" s="10"/>
      <c r="AX53" s="10"/>
      <c r="AY53" s="10"/>
      <c r="AZ53" s="10"/>
      <c r="BA53" s="10"/>
      <c r="BB53" s="10"/>
      <c r="BC53" s="10"/>
      <c r="BD53" s="10"/>
      <c r="BE53" s="10"/>
      <c r="BF53" s="10"/>
      <c r="BG53" s="10"/>
      <c r="BH53" s="10"/>
      <c r="BI53" s="10"/>
      <c r="BJ53" s="10"/>
      <c r="BK53" s="10"/>
      <c r="BL53" s="10"/>
      <c r="BM53" s="10"/>
      <c r="BN53" s="10"/>
    </row>
    <row r="54" spans="1:66" ht="3" customHeight="1" x14ac:dyDescent="0.2">
      <c r="A54" s="10"/>
      <c r="B54" s="73"/>
      <c r="C54" s="18"/>
      <c r="D54" s="31"/>
      <c r="E54" s="31"/>
      <c r="F54" s="31"/>
      <c r="G54" s="31"/>
      <c r="H54" s="31"/>
      <c r="I54" s="31"/>
      <c r="J54" s="10"/>
      <c r="K54" s="10"/>
      <c r="L54" s="10"/>
      <c r="M54" s="10"/>
    </row>
    <row r="55" spans="1:66" ht="15" x14ac:dyDescent="0.2">
      <c r="A55" s="10"/>
      <c r="B55" s="4" t="s">
        <v>0</v>
      </c>
      <c r="C55" s="4"/>
      <c r="D55" s="4"/>
      <c r="E55" s="12"/>
      <c r="F55" s="12"/>
      <c r="G55" s="12"/>
      <c r="H55" s="12"/>
      <c r="I55" s="13"/>
      <c r="AS55" s="11"/>
      <c r="AT55" s="11"/>
      <c r="AU55" s="11"/>
      <c r="AV55" s="11"/>
      <c r="AW55" s="11"/>
      <c r="AX55" s="11"/>
      <c r="AY55" s="11"/>
      <c r="AZ55" s="11"/>
      <c r="BA55" s="11"/>
      <c r="BB55" s="11"/>
      <c r="BC55" s="11"/>
      <c r="BD55" s="11"/>
      <c r="BE55" s="11"/>
      <c r="BF55" s="11"/>
      <c r="BG55" s="11"/>
      <c r="BH55" s="11"/>
      <c r="BI55" s="11"/>
    </row>
    <row r="56" spans="1:66" x14ac:dyDescent="0.2">
      <c r="A56" s="10"/>
      <c r="B56" s="6"/>
      <c r="C56" s="6"/>
      <c r="D56" s="6"/>
      <c r="E56" s="6"/>
      <c r="F56" s="6"/>
      <c r="G56" s="6"/>
      <c r="H56" s="6"/>
      <c r="I56" s="22"/>
      <c r="AS56" s="11"/>
      <c r="AT56" s="11"/>
      <c r="AU56" s="11"/>
      <c r="AV56" s="11"/>
      <c r="AW56" s="11"/>
      <c r="AX56" s="11"/>
      <c r="AY56" s="11"/>
      <c r="AZ56" s="11"/>
      <c r="BA56" s="11"/>
      <c r="BB56" s="11"/>
      <c r="BC56" s="11"/>
      <c r="BD56" s="11"/>
      <c r="BE56" s="11"/>
      <c r="BF56" s="11"/>
      <c r="BG56" s="11"/>
      <c r="BH56" s="11"/>
      <c r="BI56" s="11"/>
    </row>
    <row r="57" spans="1:66" ht="15" x14ac:dyDescent="0.2">
      <c r="A57" s="10"/>
      <c r="B57" s="14" t="s">
        <v>2</v>
      </c>
      <c r="C57" s="14"/>
      <c r="D57" s="14"/>
      <c r="E57" s="15" t="s">
        <v>4</v>
      </c>
      <c r="F57" s="16" t="s">
        <v>7</v>
      </c>
      <c r="G57" s="16" t="s">
        <v>3</v>
      </c>
      <c r="H57" s="16" t="s">
        <v>11</v>
      </c>
      <c r="I57" s="15" t="s">
        <v>34</v>
      </c>
      <c r="AS57" s="11"/>
      <c r="AT57" s="11"/>
      <c r="AU57" s="11"/>
      <c r="AV57" s="11"/>
      <c r="AW57" s="11"/>
      <c r="AX57" s="11"/>
      <c r="AY57" s="11"/>
      <c r="AZ57" s="11"/>
      <c r="BA57" s="11"/>
      <c r="BB57" s="11"/>
      <c r="BC57" s="11"/>
      <c r="BD57" s="11"/>
      <c r="BE57" s="11"/>
      <c r="BF57" s="11"/>
      <c r="BG57" s="11"/>
      <c r="BH57" s="11"/>
      <c r="BI57" s="11"/>
    </row>
    <row r="58" spans="1:66" x14ac:dyDescent="0.2">
      <c r="A58" s="10"/>
      <c r="B58" s="44"/>
      <c r="C58" s="14"/>
      <c r="D58" s="14"/>
      <c r="E58" s="15"/>
      <c r="F58" s="16"/>
      <c r="G58" s="16"/>
      <c r="H58" s="16"/>
      <c r="I58" s="15"/>
      <c r="AS58" s="11"/>
      <c r="AT58" s="11"/>
      <c r="AU58" s="11"/>
      <c r="AV58" s="11"/>
      <c r="AW58" s="11"/>
      <c r="AX58" s="11"/>
      <c r="AY58" s="11"/>
      <c r="AZ58" s="11"/>
      <c r="BA58" s="11"/>
      <c r="BB58" s="11"/>
      <c r="BC58" s="11"/>
      <c r="BD58" s="11"/>
      <c r="BE58" s="11"/>
      <c r="BF58" s="11"/>
      <c r="BG58" s="11"/>
      <c r="BH58" s="11"/>
      <c r="BI58" s="11"/>
    </row>
    <row r="59" spans="1:66" ht="33" customHeight="1" x14ac:dyDescent="0.2">
      <c r="A59" s="10"/>
      <c r="B59" s="362" t="s">
        <v>65</v>
      </c>
      <c r="C59" s="362"/>
      <c r="D59" s="14"/>
      <c r="E59" s="30" t="s">
        <v>66</v>
      </c>
      <c r="F59" s="272">
        <v>11</v>
      </c>
      <c r="G59" s="7" t="s">
        <v>67</v>
      </c>
      <c r="H59" s="7" t="str">
        <f>IF(AREAwood_expo=11,"D","S")</f>
        <v>D</v>
      </c>
      <c r="I59" s="15"/>
      <c r="AS59" s="11"/>
      <c r="AT59" s="11"/>
      <c r="AU59" s="11"/>
      <c r="AV59" s="11"/>
      <c r="AW59" s="11"/>
      <c r="AX59" s="11"/>
      <c r="AY59" s="11"/>
      <c r="AZ59" s="11"/>
      <c r="BA59" s="11"/>
      <c r="BB59" s="11"/>
      <c r="BC59" s="11"/>
      <c r="BD59" s="11"/>
      <c r="BE59" s="11"/>
      <c r="BF59" s="11"/>
      <c r="BG59" s="11"/>
      <c r="BH59" s="11"/>
      <c r="BI59" s="11"/>
    </row>
    <row r="60" spans="1:66" ht="5.0999999999999996" customHeight="1" x14ac:dyDescent="0.2">
      <c r="A60" s="10"/>
      <c r="B60" s="44"/>
      <c r="C60" s="14"/>
      <c r="D60" s="14"/>
      <c r="E60" s="15"/>
      <c r="F60" s="275"/>
      <c r="G60" s="7"/>
      <c r="H60" s="7"/>
      <c r="I60" s="15"/>
      <c r="AS60" s="11"/>
      <c r="AT60" s="11"/>
      <c r="AU60" s="11"/>
      <c r="AV60" s="11"/>
      <c r="AW60" s="11"/>
      <c r="AX60" s="11"/>
      <c r="AY60" s="11"/>
      <c r="AZ60" s="11"/>
      <c r="BA60" s="11"/>
      <c r="BB60" s="11"/>
      <c r="BC60" s="11"/>
      <c r="BD60" s="11"/>
      <c r="BE60" s="11"/>
      <c r="BF60" s="11"/>
      <c r="BG60" s="11"/>
      <c r="BH60" s="11"/>
      <c r="BI60" s="11"/>
    </row>
    <row r="61" spans="1:66" s="8" customFormat="1" ht="15" x14ac:dyDescent="0.2">
      <c r="B61" s="362" t="s">
        <v>125</v>
      </c>
      <c r="C61" s="362"/>
      <c r="D61" s="44"/>
      <c r="E61" s="30" t="s">
        <v>71</v>
      </c>
      <c r="F61" s="272">
        <v>700</v>
      </c>
      <c r="G61" s="7" t="s">
        <v>14</v>
      </c>
      <c r="H61" s="7" t="str">
        <f>IF(AREAstorage=700,"D","S")</f>
        <v>D</v>
      </c>
      <c r="I61" s="22"/>
    </row>
    <row r="62" spans="1:66" s="8" customFormat="1" ht="5.0999999999999996" customHeight="1" x14ac:dyDescent="0.2">
      <c r="B62" s="44"/>
      <c r="C62" s="44"/>
      <c r="D62" s="44"/>
      <c r="E62" s="30"/>
      <c r="F62" s="273"/>
      <c r="G62" s="7"/>
      <c r="H62" s="7"/>
      <c r="I62" s="7"/>
    </row>
    <row r="63" spans="1:66" s="8" customFormat="1" x14ac:dyDescent="0.2">
      <c r="B63" s="362" t="s">
        <v>72</v>
      </c>
      <c r="C63" s="362"/>
      <c r="D63" s="34"/>
      <c r="E63" s="44" t="s">
        <v>73</v>
      </c>
      <c r="F63" s="273">
        <v>30</v>
      </c>
      <c r="G63" s="7" t="s">
        <v>10</v>
      </c>
      <c r="H63" s="7" t="str">
        <f>IF(TIME1=30,"D","S")</f>
        <v>D</v>
      </c>
      <c r="I63" s="34"/>
    </row>
    <row r="64" spans="1:66" s="8" customFormat="1" ht="5.0999999999999996" customHeight="1" x14ac:dyDescent="0.2">
      <c r="B64" s="362"/>
      <c r="C64" s="362"/>
      <c r="D64" s="34"/>
      <c r="E64" s="22"/>
      <c r="F64" s="273"/>
      <c r="G64" s="19"/>
      <c r="H64" s="7"/>
      <c r="I64" s="34"/>
    </row>
    <row r="65" spans="2:66" s="8" customFormat="1" ht="25.5" x14ac:dyDescent="0.2">
      <c r="B65" s="362" t="s">
        <v>74</v>
      </c>
      <c r="C65" s="362"/>
      <c r="D65" s="34"/>
      <c r="E65" s="22" t="s">
        <v>75</v>
      </c>
      <c r="F65" s="273">
        <v>7300</v>
      </c>
      <c r="G65" s="19" t="s">
        <v>10</v>
      </c>
      <c r="H65" s="7" t="str">
        <f>IF(TIME2=7300,"D","S")</f>
        <v>D</v>
      </c>
      <c r="I65" s="146" t="s">
        <v>657</v>
      </c>
    </row>
    <row r="66" spans="2:66" s="8" customFormat="1" ht="5.0999999999999996" customHeight="1" x14ac:dyDescent="0.2">
      <c r="B66" s="44"/>
      <c r="C66" s="44"/>
      <c r="D66" s="34"/>
      <c r="E66" s="22"/>
      <c r="F66" s="273"/>
      <c r="G66" s="19"/>
      <c r="H66" s="7"/>
      <c r="I66" s="34"/>
    </row>
    <row r="67" spans="2:66" s="8" customFormat="1" ht="33" customHeight="1" x14ac:dyDescent="0.2">
      <c r="B67" s="362" t="s">
        <v>126</v>
      </c>
      <c r="C67" s="362"/>
      <c r="D67" s="34"/>
      <c r="E67" s="22" t="s">
        <v>127</v>
      </c>
      <c r="F67" s="274"/>
      <c r="G67" s="19" t="s">
        <v>77</v>
      </c>
      <c r="H67" s="7" t="s">
        <v>6</v>
      </c>
      <c r="I67" s="34"/>
    </row>
    <row r="68" spans="2:66" s="8" customFormat="1" ht="5.0999999999999996" customHeight="1" x14ac:dyDescent="0.2">
      <c r="B68" s="44"/>
      <c r="C68" s="44"/>
      <c r="D68" s="34"/>
      <c r="E68" s="22"/>
      <c r="F68" s="273"/>
      <c r="G68" s="19"/>
      <c r="H68" s="7"/>
      <c r="I68" s="34"/>
    </row>
    <row r="69" spans="2:66" s="8" customFormat="1" ht="15" x14ac:dyDescent="0.2">
      <c r="B69" s="44" t="s">
        <v>25</v>
      </c>
      <c r="C69" s="44"/>
      <c r="D69" s="34"/>
      <c r="E69" s="22" t="s">
        <v>30</v>
      </c>
      <c r="F69" s="273">
        <v>1700</v>
      </c>
      <c r="G69" s="19" t="s">
        <v>32</v>
      </c>
      <c r="H69" s="7" t="str">
        <f>IF(RHOsoil=1700,"D","S")</f>
        <v>D</v>
      </c>
      <c r="I69" s="34"/>
    </row>
    <row r="70" spans="2:66" s="8" customFormat="1" ht="5.0999999999999996" customHeight="1" x14ac:dyDescent="0.2">
      <c r="B70" s="44"/>
      <c r="C70" s="44"/>
      <c r="D70" s="34"/>
      <c r="E70" s="22"/>
      <c r="F70" s="273"/>
      <c r="G70" s="19"/>
      <c r="H70" s="7"/>
      <c r="I70" s="34"/>
    </row>
    <row r="71" spans="2:66" s="8" customFormat="1" ht="14.25" x14ac:dyDescent="0.2">
      <c r="B71" s="362" t="s">
        <v>78</v>
      </c>
      <c r="C71" s="362"/>
      <c r="D71" s="34"/>
      <c r="E71" s="22" t="s">
        <v>80</v>
      </c>
      <c r="F71" s="273">
        <v>0.5</v>
      </c>
      <c r="G71" s="19" t="s">
        <v>79</v>
      </c>
      <c r="H71" s="7" t="str">
        <f>IF(DEPTHsoil=0.5,"D","S")</f>
        <v>D</v>
      </c>
      <c r="I71" s="34"/>
    </row>
    <row r="72" spans="2:66" s="8" customFormat="1" ht="5.0999999999999996" customHeight="1" x14ac:dyDescent="0.2">
      <c r="B72" s="44"/>
      <c r="C72" s="44"/>
      <c r="D72" s="34"/>
      <c r="E72" s="22"/>
      <c r="F72" s="273"/>
      <c r="G72" s="19"/>
      <c r="H72" s="7"/>
      <c r="I72" s="34"/>
    </row>
    <row r="73" spans="2:66" s="8" customFormat="1" ht="14.25" x14ac:dyDescent="0.2">
      <c r="B73" s="362" t="s">
        <v>81</v>
      </c>
      <c r="C73" s="362"/>
      <c r="D73" s="34"/>
      <c r="E73" s="22" t="s">
        <v>82</v>
      </c>
      <c r="F73" s="273">
        <v>0.5</v>
      </c>
      <c r="G73" s="19" t="s">
        <v>5</v>
      </c>
      <c r="H73" s="7" t="str">
        <f>IF(Frunoff=0.5,"D","S")</f>
        <v>D</v>
      </c>
      <c r="I73" s="34"/>
    </row>
    <row r="74" spans="2:66" s="8" customFormat="1" ht="5.0999999999999996" customHeight="1" x14ac:dyDescent="0.2">
      <c r="B74" s="44"/>
      <c r="C74" s="44"/>
      <c r="D74" s="34"/>
      <c r="E74" s="22"/>
      <c r="F74" s="273"/>
      <c r="G74" s="19"/>
      <c r="H74" s="7"/>
      <c r="I74" s="34"/>
    </row>
    <row r="75" spans="2:66" s="8" customFormat="1" ht="33" customHeight="1" x14ac:dyDescent="0.2">
      <c r="B75" s="362" t="s">
        <v>112</v>
      </c>
      <c r="C75" s="362"/>
      <c r="D75" s="34"/>
      <c r="E75" s="22" t="s">
        <v>27</v>
      </c>
      <c r="F75" s="273">
        <v>25920</v>
      </c>
      <c r="G75" s="19" t="s">
        <v>460</v>
      </c>
      <c r="H75" s="7" t="str">
        <f>IF(FLOWsurfacewater=25920,"D","S")</f>
        <v>D</v>
      </c>
      <c r="I75" s="107" t="s">
        <v>461</v>
      </c>
    </row>
    <row r="76" spans="2:66" s="8" customFormat="1" x14ac:dyDescent="0.2">
      <c r="B76" s="227"/>
      <c r="C76" s="227"/>
      <c r="D76" s="34"/>
      <c r="E76" s="22"/>
      <c r="F76" s="7"/>
      <c r="G76" s="19"/>
      <c r="H76" s="7"/>
      <c r="I76" s="107"/>
      <c r="J76" s="10"/>
      <c r="K76" s="10"/>
    </row>
    <row r="77" spans="2:66" s="8" customFormat="1" ht="12.75" customHeight="1" x14ac:dyDescent="0.2">
      <c r="B77" s="365" t="s">
        <v>548</v>
      </c>
      <c r="C77" s="365"/>
      <c r="D77" s="365"/>
      <c r="E77" s="365"/>
      <c r="F77" s="365"/>
      <c r="G77" s="365"/>
      <c r="H77" s="365"/>
      <c r="I77" s="365"/>
      <c r="J77" s="10"/>
      <c r="K77" s="10"/>
      <c r="AT77" s="10"/>
      <c r="AU77" s="10"/>
      <c r="AV77" s="10"/>
      <c r="AW77" s="10"/>
      <c r="AX77" s="10"/>
      <c r="AY77" s="10"/>
      <c r="AZ77" s="10"/>
      <c r="BA77" s="10"/>
      <c r="BB77" s="10"/>
      <c r="BC77" s="10"/>
      <c r="BD77" s="10"/>
      <c r="BE77" s="10"/>
      <c r="BF77" s="10"/>
      <c r="BG77" s="10"/>
      <c r="BH77" s="10"/>
      <c r="BI77" s="10"/>
      <c r="BJ77" s="10"/>
      <c r="BK77" s="10"/>
      <c r="BL77" s="10"/>
      <c r="BM77" s="10"/>
      <c r="BN77" s="10"/>
    </row>
    <row r="78" spans="2:66" s="8" customFormat="1" x14ac:dyDescent="0.2">
      <c r="B78" s="227"/>
      <c r="C78" s="227"/>
      <c r="D78" s="34"/>
      <c r="E78" s="22"/>
      <c r="F78" s="7"/>
      <c r="G78" s="19"/>
      <c r="H78" s="7"/>
      <c r="I78" s="34"/>
      <c r="J78" s="148"/>
      <c r="K78" s="18"/>
      <c r="AT78" s="10"/>
      <c r="AU78" s="10"/>
      <c r="AV78" s="10"/>
      <c r="AW78" s="10"/>
      <c r="AX78" s="10"/>
      <c r="AY78" s="10"/>
      <c r="AZ78" s="10"/>
      <c r="BA78" s="10"/>
      <c r="BB78" s="10"/>
      <c r="BC78" s="10"/>
      <c r="BD78" s="10"/>
      <c r="BE78" s="10"/>
      <c r="BF78" s="10"/>
      <c r="BG78" s="10"/>
      <c r="BH78" s="10"/>
      <c r="BI78" s="10"/>
      <c r="BJ78" s="10"/>
      <c r="BK78" s="10"/>
      <c r="BL78" s="10"/>
      <c r="BM78" s="10"/>
      <c r="BN78" s="10"/>
    </row>
    <row r="79" spans="2:66" s="8" customFormat="1" ht="15" x14ac:dyDescent="0.2">
      <c r="B79" s="362" t="s">
        <v>442</v>
      </c>
      <c r="C79" s="362"/>
      <c r="D79" s="34"/>
      <c r="E79" s="22" t="s">
        <v>653</v>
      </c>
      <c r="F79" s="326"/>
      <c r="G79" s="19" t="s">
        <v>443</v>
      </c>
      <c r="H79" s="7" t="s">
        <v>6</v>
      </c>
      <c r="I79" s="34"/>
      <c r="J79" s="10"/>
      <c r="K79" s="10"/>
      <c r="AT79" s="10"/>
      <c r="AU79" s="10"/>
      <c r="AV79" s="10"/>
      <c r="AW79" s="10"/>
      <c r="AX79" s="10"/>
      <c r="AY79" s="10"/>
      <c r="AZ79" s="10"/>
      <c r="BA79" s="10"/>
      <c r="BB79" s="10"/>
      <c r="BC79" s="10"/>
      <c r="BD79" s="10"/>
      <c r="BE79" s="10"/>
      <c r="BF79" s="10"/>
      <c r="BG79" s="10"/>
      <c r="BH79" s="10"/>
      <c r="BI79" s="10"/>
      <c r="BJ79" s="10"/>
      <c r="BK79" s="10"/>
      <c r="BL79" s="10"/>
      <c r="BM79" s="10"/>
      <c r="BN79" s="10"/>
    </row>
    <row r="80" spans="2:66" s="8" customFormat="1" ht="5.0999999999999996" customHeight="1" x14ac:dyDescent="0.2">
      <c r="B80" s="227"/>
      <c r="C80" s="227"/>
      <c r="D80" s="34"/>
      <c r="E80" s="22"/>
      <c r="F80" s="273"/>
      <c r="G80" s="19"/>
      <c r="H80" s="7"/>
      <c r="I80" s="34"/>
      <c r="J80" s="10"/>
      <c r="K80" s="10"/>
      <c r="AT80" s="10"/>
      <c r="AU80" s="10"/>
      <c r="AV80" s="10"/>
      <c r="AW80" s="10"/>
      <c r="AX80" s="10"/>
      <c r="AY80" s="10"/>
      <c r="AZ80" s="10"/>
      <c r="BA80" s="10"/>
      <c r="BB80" s="10"/>
      <c r="BC80" s="10"/>
      <c r="BD80" s="10"/>
      <c r="BE80" s="10"/>
      <c r="BF80" s="10"/>
      <c r="BG80" s="10"/>
      <c r="BH80" s="10"/>
      <c r="BI80" s="10"/>
      <c r="BJ80" s="10"/>
      <c r="BK80" s="10"/>
      <c r="BL80" s="10"/>
      <c r="BM80" s="10"/>
      <c r="BN80" s="10"/>
    </row>
    <row r="81" spans="1:66" s="8" customFormat="1" ht="15" x14ac:dyDescent="0.2">
      <c r="B81" s="22" t="s">
        <v>448</v>
      </c>
      <c r="C81" s="22"/>
      <c r="D81" s="34"/>
      <c r="E81" s="22" t="s">
        <v>449</v>
      </c>
      <c r="F81" s="274"/>
      <c r="G81" s="7" t="s">
        <v>450</v>
      </c>
      <c r="H81" s="7" t="s">
        <v>6</v>
      </c>
      <c r="I81" s="34"/>
      <c r="J81" s="10"/>
      <c r="K81" s="10"/>
      <c r="AT81" s="10"/>
      <c r="AU81" s="10"/>
      <c r="AV81" s="10"/>
      <c r="AW81" s="10"/>
      <c r="AX81" s="10"/>
      <c r="AY81" s="10"/>
      <c r="AZ81" s="10"/>
      <c r="BA81" s="10"/>
      <c r="BB81" s="10"/>
      <c r="BC81" s="10"/>
      <c r="BD81" s="10"/>
      <c r="BE81" s="10"/>
      <c r="BF81" s="10"/>
      <c r="BG81" s="10"/>
      <c r="BH81" s="10"/>
      <c r="BI81" s="10"/>
      <c r="BJ81" s="10"/>
      <c r="BK81" s="10"/>
      <c r="BL81" s="10"/>
      <c r="BM81" s="10"/>
      <c r="BN81" s="10"/>
    </row>
    <row r="82" spans="1:66" s="8" customFormat="1" x14ac:dyDescent="0.2">
      <c r="B82" s="227"/>
      <c r="C82" s="227"/>
      <c r="D82" s="34"/>
      <c r="E82" s="22"/>
      <c r="F82" s="22"/>
      <c r="G82" s="7"/>
      <c r="H82" s="7"/>
      <c r="I82" s="19"/>
      <c r="J82" s="10"/>
      <c r="K82" s="10"/>
      <c r="AT82" s="10"/>
      <c r="AU82" s="10"/>
      <c r="AV82" s="10"/>
      <c r="AW82" s="10"/>
      <c r="AX82" s="10"/>
      <c r="AY82" s="10"/>
      <c r="AZ82" s="10"/>
      <c r="BA82" s="10"/>
      <c r="BB82" s="10"/>
      <c r="BC82" s="10"/>
      <c r="BD82" s="10"/>
      <c r="BE82" s="10"/>
      <c r="BF82" s="10"/>
      <c r="BG82" s="10"/>
      <c r="BH82" s="10"/>
      <c r="BI82" s="10"/>
      <c r="BJ82" s="10"/>
      <c r="BK82" s="10"/>
      <c r="BL82" s="10"/>
      <c r="BM82" s="10"/>
      <c r="BN82" s="10"/>
    </row>
    <row r="83" spans="1:66" ht="15" x14ac:dyDescent="0.2">
      <c r="A83" s="10"/>
      <c r="B83" s="4" t="s">
        <v>83</v>
      </c>
      <c r="C83" s="4"/>
      <c r="D83" s="4"/>
      <c r="E83" s="4"/>
      <c r="F83" s="12"/>
      <c r="G83" s="12"/>
      <c r="H83" s="12"/>
      <c r="I83" s="12"/>
      <c r="J83" s="10"/>
      <c r="K83" s="10"/>
      <c r="AT83" s="11"/>
      <c r="AU83" s="11"/>
      <c r="AV83" s="11"/>
      <c r="AW83" s="11"/>
      <c r="AX83" s="11"/>
      <c r="AY83" s="11"/>
      <c r="AZ83" s="11"/>
      <c r="BA83" s="11"/>
      <c r="BB83" s="11"/>
      <c r="BC83" s="11"/>
      <c r="BD83" s="11"/>
      <c r="BE83" s="11"/>
      <c r="BF83" s="11"/>
      <c r="BG83" s="11"/>
      <c r="BH83" s="11"/>
      <c r="BI83" s="11"/>
    </row>
    <row r="84" spans="1:66" x14ac:dyDescent="0.2">
      <c r="A84" s="10"/>
      <c r="B84" s="6"/>
      <c r="C84" s="6"/>
      <c r="D84" s="6"/>
      <c r="E84" s="6"/>
      <c r="F84" s="6"/>
      <c r="G84" s="6"/>
      <c r="H84" s="6"/>
      <c r="I84" s="6"/>
      <c r="J84" s="10"/>
      <c r="K84" s="10"/>
      <c r="AT84" s="11"/>
      <c r="AU84" s="11"/>
      <c r="AV84" s="11"/>
      <c r="AW84" s="11"/>
      <c r="AX84" s="11"/>
      <c r="AY84" s="11"/>
      <c r="AZ84" s="11"/>
      <c r="BA84" s="11"/>
      <c r="BB84" s="11"/>
      <c r="BC84" s="11"/>
      <c r="BD84" s="11"/>
      <c r="BE84" s="11"/>
      <c r="BF84" s="11"/>
      <c r="BG84" s="11"/>
      <c r="BH84" s="11"/>
      <c r="BI84" s="11"/>
    </row>
    <row r="85" spans="1:66" ht="15" x14ac:dyDescent="0.2">
      <c r="A85" s="10"/>
      <c r="B85" s="14" t="s">
        <v>2</v>
      </c>
      <c r="C85" s="14"/>
      <c r="D85" s="14"/>
      <c r="E85" s="15" t="s">
        <v>4</v>
      </c>
      <c r="F85" s="16" t="s">
        <v>7</v>
      </c>
      <c r="G85" s="16" t="s">
        <v>3</v>
      </c>
      <c r="H85" s="16" t="s">
        <v>11</v>
      </c>
      <c r="I85" s="15" t="s">
        <v>34</v>
      </c>
      <c r="J85" s="10"/>
      <c r="K85" s="10"/>
      <c r="AT85" s="11"/>
      <c r="AU85" s="11"/>
      <c r="AV85" s="11"/>
      <c r="AW85" s="11"/>
      <c r="AX85" s="11"/>
      <c r="AY85" s="11"/>
      <c r="AZ85" s="11"/>
      <c r="BA85" s="11"/>
      <c r="BB85" s="11"/>
      <c r="BC85" s="11"/>
      <c r="BD85" s="11"/>
      <c r="BE85" s="11"/>
      <c r="BF85" s="11"/>
      <c r="BG85" s="11"/>
      <c r="BH85" s="11"/>
      <c r="BI85" s="11"/>
    </row>
    <row r="86" spans="1:66" x14ac:dyDescent="0.2">
      <c r="A86" s="10"/>
      <c r="B86" s="17"/>
      <c r="C86" s="17"/>
      <c r="D86" s="17"/>
      <c r="E86" s="17"/>
      <c r="F86" s="17"/>
      <c r="G86" s="17"/>
      <c r="H86" s="17"/>
      <c r="I86" s="22"/>
      <c r="J86" s="10"/>
      <c r="K86" s="10"/>
      <c r="AT86" s="11"/>
      <c r="AU86" s="11"/>
      <c r="AV86" s="11"/>
      <c r="AW86" s="11"/>
      <c r="AX86" s="11"/>
      <c r="AY86" s="11"/>
      <c r="AZ86" s="11"/>
      <c r="BA86" s="11"/>
      <c r="BB86" s="11"/>
      <c r="BC86" s="11"/>
      <c r="BD86" s="11"/>
      <c r="BE86" s="11"/>
      <c r="BF86" s="11"/>
      <c r="BG86" s="11"/>
      <c r="BH86" s="11"/>
      <c r="BI86" s="11"/>
    </row>
    <row r="87" spans="1:66" ht="15" x14ac:dyDescent="0.2">
      <c r="A87" s="10"/>
      <c r="B87" s="44" t="s">
        <v>128</v>
      </c>
      <c r="C87" s="17"/>
      <c r="D87" s="17"/>
      <c r="E87" s="30" t="s">
        <v>23</v>
      </c>
      <c r="F87" s="24">
        <f>AREAstorage*DEPTHsoil</f>
        <v>350</v>
      </c>
      <c r="G87" s="7" t="s">
        <v>24</v>
      </c>
      <c r="H87" s="7" t="s">
        <v>8</v>
      </c>
      <c r="I87" s="22" t="s">
        <v>93</v>
      </c>
      <c r="J87" s="10"/>
      <c r="K87" s="10"/>
      <c r="AT87" s="11"/>
      <c r="AU87" s="11"/>
      <c r="AV87" s="11"/>
      <c r="AW87" s="11"/>
      <c r="AX87" s="11"/>
      <c r="AY87" s="11"/>
      <c r="AZ87" s="11"/>
      <c r="BA87" s="11"/>
      <c r="BB87" s="11"/>
      <c r="BC87" s="11"/>
      <c r="BD87" s="11"/>
      <c r="BE87" s="11"/>
      <c r="BF87" s="11"/>
      <c r="BG87" s="11"/>
      <c r="BH87" s="11"/>
      <c r="BI87" s="11"/>
    </row>
    <row r="88" spans="1:66" ht="5.0999999999999996" customHeight="1" x14ac:dyDescent="0.2">
      <c r="A88" s="10"/>
      <c r="B88" s="44"/>
      <c r="C88" s="17"/>
      <c r="D88" s="17"/>
      <c r="E88" s="30"/>
      <c r="F88" s="17"/>
      <c r="G88" s="7"/>
      <c r="H88" s="17"/>
      <c r="I88" s="22"/>
      <c r="J88" s="10"/>
      <c r="K88" s="10"/>
      <c r="AT88" s="11"/>
      <c r="AU88" s="11"/>
      <c r="AV88" s="11"/>
      <c r="AW88" s="11"/>
      <c r="AX88" s="11"/>
      <c r="AY88" s="11"/>
      <c r="AZ88" s="11"/>
      <c r="BA88" s="11"/>
      <c r="BB88" s="11"/>
      <c r="BC88" s="11"/>
      <c r="BD88" s="11"/>
      <c r="BE88" s="11"/>
      <c r="BF88" s="11"/>
      <c r="BG88" s="11"/>
      <c r="BH88" s="11"/>
      <c r="BI88" s="11"/>
    </row>
    <row r="89" spans="1:66" ht="33" customHeight="1" x14ac:dyDescent="0.2">
      <c r="A89" s="10"/>
      <c r="B89" s="362" t="s">
        <v>85</v>
      </c>
      <c r="C89" s="362"/>
      <c r="D89" s="17"/>
      <c r="E89" s="30" t="s">
        <v>106</v>
      </c>
      <c r="F89" s="228" t="str">
        <f>IF(ISNUMBER(FLUXstorage_dipp),FLUXstorage_dipp*AREAwood_expo*AREAstorage*TIME1,"??")</f>
        <v>??</v>
      </c>
      <c r="G89" s="7" t="s">
        <v>87</v>
      </c>
      <c r="H89" s="7" t="s">
        <v>8</v>
      </c>
      <c r="I89" s="152" t="s">
        <v>129</v>
      </c>
      <c r="J89" s="10"/>
      <c r="K89" s="10"/>
      <c r="AT89" s="11"/>
      <c r="AU89" s="11"/>
      <c r="AV89" s="11"/>
      <c r="AW89" s="11"/>
      <c r="AX89" s="11"/>
      <c r="AY89" s="11"/>
      <c r="AZ89" s="11"/>
      <c r="BA89" s="11"/>
      <c r="BB89" s="11"/>
      <c r="BC89" s="11"/>
      <c r="BD89" s="11"/>
      <c r="BE89" s="11"/>
      <c r="BF89" s="11"/>
      <c r="BG89" s="11"/>
      <c r="BH89" s="11"/>
      <c r="BI89" s="11"/>
    </row>
    <row r="90" spans="1:66" ht="5.0999999999999996" customHeight="1" x14ac:dyDescent="0.2">
      <c r="A90" s="10"/>
      <c r="B90" s="44"/>
      <c r="C90" s="17"/>
      <c r="D90" s="17"/>
      <c r="E90" s="30"/>
      <c r="F90" s="17"/>
      <c r="G90" s="7"/>
      <c r="H90" s="17"/>
      <c r="I90" s="22"/>
      <c r="AT90" s="11"/>
      <c r="AU90" s="11"/>
      <c r="AV90" s="11"/>
      <c r="AW90" s="11"/>
      <c r="AX90" s="11"/>
      <c r="AY90" s="11"/>
      <c r="AZ90" s="11"/>
      <c r="BA90" s="11"/>
      <c r="BB90" s="11"/>
      <c r="BC90" s="11"/>
      <c r="BD90" s="11"/>
      <c r="BE90" s="11"/>
      <c r="BF90" s="11"/>
      <c r="BG90" s="11"/>
      <c r="BH90" s="11"/>
      <c r="BI90" s="11"/>
    </row>
    <row r="91" spans="1:66" s="8" customFormat="1" ht="33" customHeight="1" x14ac:dyDescent="0.2">
      <c r="A91" s="10"/>
      <c r="B91" s="362" t="s">
        <v>86</v>
      </c>
      <c r="C91" s="362"/>
      <c r="D91" s="30"/>
      <c r="E91" s="30" t="s">
        <v>107</v>
      </c>
      <c r="F91" s="228" t="str">
        <f>IF(AND(ISNUMBER(FLUXstorage_dipp),ISNUMBER(TIME2)),FLUXstorage_dipp*AREAwood_expo*AREAstorage*TIME2,"??")</f>
        <v>??</v>
      </c>
      <c r="G91" s="7" t="s">
        <v>87</v>
      </c>
      <c r="H91" s="7" t="s">
        <v>8</v>
      </c>
      <c r="I91" s="152" t="s">
        <v>130</v>
      </c>
    </row>
    <row r="92" spans="1:66" ht="5.0999999999999996" customHeight="1" x14ac:dyDescent="0.2">
      <c r="A92" s="10"/>
      <c r="B92" s="17"/>
      <c r="C92" s="17"/>
      <c r="D92" s="17"/>
      <c r="E92" s="17"/>
      <c r="F92" s="17"/>
      <c r="G92" s="17"/>
      <c r="H92" s="17"/>
      <c r="I92" s="22"/>
      <c r="AT92" s="10"/>
      <c r="AU92" s="10"/>
      <c r="AV92" s="10"/>
      <c r="AW92" s="10"/>
      <c r="AX92" s="10"/>
      <c r="AY92" s="10"/>
      <c r="AZ92" s="10"/>
      <c r="BA92" s="10"/>
      <c r="BB92" s="10"/>
      <c r="BC92" s="10"/>
      <c r="BD92" s="10"/>
      <c r="BE92" s="10"/>
      <c r="BF92" s="10"/>
      <c r="BG92" s="10"/>
      <c r="BH92" s="10"/>
      <c r="BI92" s="10"/>
      <c r="BJ92" s="10"/>
      <c r="BK92" s="10"/>
      <c r="BL92" s="10"/>
      <c r="BM92" s="10"/>
      <c r="BN92" s="10"/>
    </row>
    <row r="93" spans="1:66" ht="33" customHeight="1" x14ac:dyDescent="0.2">
      <c r="A93" s="10"/>
      <c r="B93" s="362" t="s">
        <v>950</v>
      </c>
      <c r="C93" s="362"/>
      <c r="D93" s="14"/>
      <c r="E93" s="30" t="s">
        <v>440</v>
      </c>
      <c r="F93" s="228" t="str">
        <f>IF(ISNUMBER(FLUXstorage_dipp),FLUXstorage_dipp*AREAwood_expo,"??")</f>
        <v>??</v>
      </c>
      <c r="G93" s="19" t="s">
        <v>936</v>
      </c>
      <c r="H93" s="7" t="s">
        <v>8</v>
      </c>
      <c r="I93" s="22" t="s">
        <v>441</v>
      </c>
      <c r="AT93" s="10"/>
      <c r="AU93" s="10"/>
      <c r="AV93" s="10"/>
      <c r="AW93" s="10"/>
      <c r="AX93" s="10"/>
      <c r="AY93" s="10"/>
      <c r="AZ93" s="10"/>
      <c r="BA93" s="10"/>
      <c r="BB93" s="10"/>
      <c r="BC93" s="10"/>
      <c r="BD93" s="10"/>
      <c r="BE93" s="10"/>
      <c r="BF93" s="10"/>
      <c r="BG93" s="10"/>
      <c r="BH93" s="10"/>
      <c r="BI93" s="10"/>
      <c r="BJ93" s="10"/>
      <c r="BK93" s="10"/>
      <c r="BL93" s="10"/>
      <c r="BM93" s="10"/>
      <c r="BN93" s="10"/>
    </row>
    <row r="94" spans="1:66" s="8" customFormat="1" x14ac:dyDescent="0.2">
      <c r="B94" s="44"/>
      <c r="C94" s="44"/>
      <c r="D94" s="44"/>
      <c r="E94" s="30"/>
      <c r="F94" s="22"/>
      <c r="G94" s="7"/>
      <c r="H94" s="7"/>
      <c r="I94" s="7"/>
    </row>
    <row r="95" spans="1:66" ht="15" x14ac:dyDescent="0.2">
      <c r="A95" s="10"/>
      <c r="B95" s="4" t="s">
        <v>1</v>
      </c>
      <c r="C95" s="4"/>
      <c r="D95" s="4"/>
      <c r="E95" s="4"/>
      <c r="F95" s="12"/>
      <c r="G95" s="12"/>
      <c r="H95" s="12"/>
      <c r="I95" s="12"/>
      <c r="AT95" s="11"/>
      <c r="AU95" s="11"/>
      <c r="AV95" s="11"/>
      <c r="AW95" s="11"/>
      <c r="AX95" s="11"/>
      <c r="AY95" s="11"/>
      <c r="AZ95" s="11"/>
      <c r="BA95" s="11"/>
      <c r="BB95" s="11"/>
      <c r="BC95" s="11"/>
      <c r="BD95" s="11"/>
      <c r="BE95" s="11"/>
      <c r="BF95" s="11"/>
      <c r="BG95" s="11"/>
      <c r="BH95" s="11"/>
      <c r="BI95" s="11"/>
    </row>
    <row r="96" spans="1:66" x14ac:dyDescent="0.2">
      <c r="A96" s="10"/>
      <c r="B96" s="6"/>
      <c r="C96" s="6"/>
      <c r="D96" s="6"/>
      <c r="E96" s="6"/>
      <c r="F96" s="6"/>
      <c r="G96" s="6"/>
      <c r="H96" s="6"/>
      <c r="I96" s="6"/>
      <c r="AT96" s="11"/>
      <c r="AU96" s="11"/>
      <c r="AV96" s="11"/>
      <c r="AW96" s="11"/>
      <c r="AX96" s="11"/>
      <c r="AY96" s="11"/>
      <c r="AZ96" s="11"/>
      <c r="BA96" s="11"/>
      <c r="BB96" s="11"/>
      <c r="BC96" s="11"/>
      <c r="BD96" s="11"/>
      <c r="BE96" s="11"/>
      <c r="BF96" s="11"/>
      <c r="BG96" s="11"/>
      <c r="BH96" s="11"/>
      <c r="BI96" s="11"/>
    </row>
    <row r="97" spans="1:66" ht="15" x14ac:dyDescent="0.2">
      <c r="A97" s="10"/>
      <c r="B97" s="14" t="s">
        <v>2</v>
      </c>
      <c r="C97" s="14"/>
      <c r="D97" s="14"/>
      <c r="E97" s="15" t="s">
        <v>4</v>
      </c>
      <c r="F97" s="16" t="s">
        <v>7</v>
      </c>
      <c r="G97" s="16" t="s">
        <v>3</v>
      </c>
      <c r="H97" s="16" t="s">
        <v>11</v>
      </c>
      <c r="I97" s="15" t="s">
        <v>34</v>
      </c>
      <c r="AT97" s="11"/>
      <c r="AU97" s="11"/>
      <c r="AV97" s="11"/>
      <c r="AW97" s="11"/>
      <c r="AX97" s="11"/>
      <c r="AY97" s="11"/>
      <c r="AZ97" s="11"/>
      <c r="BA97" s="11"/>
      <c r="BB97" s="11"/>
      <c r="BC97" s="11"/>
      <c r="BD97" s="11"/>
      <c r="BE97" s="11"/>
      <c r="BF97" s="11"/>
      <c r="BG97" s="11"/>
      <c r="BH97" s="11"/>
      <c r="BI97" s="11"/>
    </row>
    <row r="98" spans="1:66" x14ac:dyDescent="0.2">
      <c r="A98" s="10"/>
      <c r="B98" s="17"/>
      <c r="C98" s="17"/>
      <c r="D98" s="17"/>
      <c r="E98" s="17"/>
      <c r="F98" s="17"/>
      <c r="G98" s="17"/>
      <c r="H98" s="17"/>
      <c r="I98" s="17"/>
      <c r="AT98" s="10"/>
      <c r="AU98" s="10"/>
      <c r="AV98" s="10"/>
      <c r="AW98" s="10"/>
      <c r="AX98" s="10"/>
      <c r="AY98" s="10"/>
      <c r="AZ98" s="10"/>
      <c r="BA98" s="10"/>
      <c r="BB98" s="10"/>
      <c r="BC98" s="10"/>
      <c r="BD98" s="10"/>
      <c r="BE98" s="10"/>
      <c r="BF98" s="10"/>
      <c r="BG98" s="10"/>
      <c r="BH98" s="10"/>
      <c r="BI98" s="10"/>
      <c r="BJ98" s="10"/>
      <c r="BK98" s="10"/>
      <c r="BL98" s="10"/>
      <c r="BM98" s="10"/>
      <c r="BN98" s="10"/>
    </row>
    <row r="99" spans="1:66" x14ac:dyDescent="0.2">
      <c r="A99" s="10"/>
      <c r="B99" s="121" t="s">
        <v>549</v>
      </c>
      <c r="C99" s="17"/>
      <c r="D99" s="17"/>
      <c r="E99" s="17"/>
      <c r="F99" s="17"/>
      <c r="G99" s="17"/>
      <c r="H99" s="17"/>
      <c r="I99" s="17"/>
      <c r="AT99" s="10"/>
      <c r="AU99" s="10"/>
      <c r="AV99" s="10"/>
      <c r="AW99" s="10"/>
      <c r="AX99" s="10"/>
      <c r="AY99" s="10"/>
      <c r="AZ99" s="10"/>
      <c r="BA99" s="10"/>
      <c r="BB99" s="10"/>
      <c r="BC99" s="10"/>
      <c r="BD99" s="10"/>
      <c r="BE99" s="10"/>
      <c r="BF99" s="10"/>
      <c r="BG99" s="10"/>
      <c r="BH99" s="10"/>
      <c r="BI99" s="10"/>
      <c r="BJ99" s="10"/>
      <c r="BK99" s="10"/>
      <c r="BL99" s="10"/>
      <c r="BM99" s="10"/>
      <c r="BN99" s="10"/>
    </row>
    <row r="100" spans="1:66" ht="3" customHeight="1" x14ac:dyDescent="0.2">
      <c r="A100" s="10"/>
      <c r="B100" s="17"/>
      <c r="C100" s="17"/>
      <c r="D100" s="17"/>
      <c r="E100" s="17"/>
      <c r="F100" s="17"/>
      <c r="G100" s="17"/>
      <c r="H100" s="17"/>
      <c r="I100" s="17"/>
      <c r="AT100" s="10"/>
      <c r="AU100" s="10"/>
      <c r="AV100" s="10"/>
      <c r="AW100" s="10"/>
      <c r="AX100" s="10"/>
      <c r="AY100" s="10"/>
      <c r="AZ100" s="10"/>
      <c r="BA100" s="10"/>
      <c r="BB100" s="10"/>
      <c r="BC100" s="10"/>
      <c r="BD100" s="10"/>
      <c r="BE100" s="10"/>
      <c r="BF100" s="10"/>
      <c r="BG100" s="10"/>
      <c r="BH100" s="10"/>
      <c r="BI100" s="10"/>
      <c r="BJ100" s="10"/>
      <c r="BK100" s="10"/>
      <c r="BL100" s="10"/>
      <c r="BM100" s="10"/>
      <c r="BN100" s="10"/>
    </row>
    <row r="101" spans="1:66" s="74" customFormat="1" ht="25.15" customHeight="1" x14ac:dyDescent="0.2">
      <c r="A101" s="73" t="s">
        <v>946</v>
      </c>
      <c r="B101" s="363" t="s">
        <v>930</v>
      </c>
      <c r="C101" s="363"/>
      <c r="D101" s="345"/>
      <c r="E101" s="167" t="s">
        <v>937</v>
      </c>
      <c r="F101" s="343" t="str">
        <f>IF(ISNUMBER(Qleach_storage_TIME1),Qleach_storage_TIME1*(1-Frunoff)/TIME1,"??")</f>
        <v>??</v>
      </c>
      <c r="G101" s="19" t="s">
        <v>936</v>
      </c>
      <c r="H101" s="19" t="s">
        <v>8</v>
      </c>
      <c r="I101" s="345" t="s">
        <v>938</v>
      </c>
    </row>
    <row r="102" spans="1:66" s="8" customFormat="1" ht="3" customHeight="1" x14ac:dyDescent="0.2">
      <c r="A102" s="10"/>
      <c r="B102" s="327"/>
      <c r="C102" s="327"/>
      <c r="D102" s="324"/>
      <c r="E102" s="302"/>
      <c r="F102" s="30"/>
      <c r="G102" s="197"/>
      <c r="H102" s="197"/>
      <c r="I102" s="327"/>
    </row>
    <row r="103" spans="1:66" s="74" customFormat="1" ht="25.15" customHeight="1" x14ac:dyDescent="0.2">
      <c r="A103" s="73"/>
      <c r="B103" s="363" t="s">
        <v>931</v>
      </c>
      <c r="C103" s="363"/>
      <c r="D103" s="345"/>
      <c r="E103" s="167" t="s">
        <v>939</v>
      </c>
      <c r="F103" s="343" t="str">
        <f>IF(ISNUMBER(Qleach_storage_TIME2),Qleach_storage_TIME2*(1-Frunoff)/TIME2,"??")</f>
        <v>??</v>
      </c>
      <c r="G103" s="19" t="s">
        <v>936</v>
      </c>
      <c r="H103" s="19" t="s">
        <v>8</v>
      </c>
      <c r="I103" s="345" t="s">
        <v>940</v>
      </c>
    </row>
    <row r="104" spans="1:66" s="8" customFormat="1" ht="3" customHeight="1" x14ac:dyDescent="0.2">
      <c r="A104" s="10"/>
      <c r="B104" s="44"/>
      <c r="C104" s="44"/>
      <c r="D104" s="44"/>
      <c r="E104" s="30"/>
      <c r="F104" s="30"/>
      <c r="G104" s="7"/>
      <c r="H104" s="7"/>
      <c r="I104" s="141"/>
    </row>
    <row r="105" spans="1:66" s="74" customFormat="1" ht="25.15" customHeight="1" x14ac:dyDescent="0.2">
      <c r="A105" s="73"/>
      <c r="B105" s="363" t="s">
        <v>932</v>
      </c>
      <c r="C105" s="363"/>
      <c r="D105" s="345"/>
      <c r="E105" s="167" t="s">
        <v>942</v>
      </c>
      <c r="F105" s="343" t="str">
        <f>IF(ISNUMBER(Qleach_storage_TIME1),Qleach_storage_TIME1*Frunoff/TIME1,"??")</f>
        <v>??</v>
      </c>
      <c r="G105" s="19" t="s">
        <v>936</v>
      </c>
      <c r="H105" s="19" t="s">
        <v>8</v>
      </c>
      <c r="I105" s="345" t="s">
        <v>943</v>
      </c>
    </row>
    <row r="106" spans="1:66" s="8" customFormat="1" ht="3" customHeight="1" x14ac:dyDescent="0.2">
      <c r="A106" s="10"/>
      <c r="B106" s="44"/>
      <c r="C106" s="44"/>
      <c r="D106" s="44"/>
      <c r="E106" s="30"/>
      <c r="F106" s="30"/>
      <c r="G106" s="7"/>
      <c r="H106" s="7"/>
      <c r="I106" s="141"/>
    </row>
    <row r="107" spans="1:66" s="74" customFormat="1" ht="25.15" customHeight="1" x14ac:dyDescent="0.2">
      <c r="A107" s="73"/>
      <c r="B107" s="363" t="s">
        <v>933</v>
      </c>
      <c r="C107" s="363"/>
      <c r="D107" s="345"/>
      <c r="E107" s="167" t="s">
        <v>944</v>
      </c>
      <c r="F107" s="343" t="str">
        <f>IF(AND(ISNUMBER(Qleach_storage_TIME2),ISNUMBER(TIME2)),Qleach_storage_TIME2*Frunoff/TIME2,"??")</f>
        <v>??</v>
      </c>
      <c r="G107" s="19" t="s">
        <v>936</v>
      </c>
      <c r="H107" s="19" t="s">
        <v>8</v>
      </c>
      <c r="I107" s="345" t="s">
        <v>945</v>
      </c>
    </row>
    <row r="108" spans="1:66" s="8" customFormat="1" x14ac:dyDescent="0.2">
      <c r="A108" s="10"/>
      <c r="B108" s="344"/>
      <c r="C108" s="344"/>
      <c r="D108" s="344"/>
      <c r="E108" s="30"/>
      <c r="F108" s="30"/>
      <c r="G108" s="7"/>
      <c r="H108" s="7"/>
      <c r="I108" s="141"/>
    </row>
    <row r="109" spans="1:66" s="8" customFormat="1" ht="25.15" customHeight="1" x14ac:dyDescent="0.2">
      <c r="A109" s="10"/>
      <c r="B109" s="373" t="s">
        <v>88</v>
      </c>
      <c r="C109" s="373"/>
      <c r="D109" s="30"/>
      <c r="E109" s="30" t="s">
        <v>89</v>
      </c>
      <c r="F109" s="228" t="str">
        <f>IF(AND(ISNUMBER(Qleach_storage_TIME1),ISNUMBER(Vsoil)),Qleach_storage_TIME1*(1-Frunoff)/(Vsoil*RHOsoil),"??")</f>
        <v>??</v>
      </c>
      <c r="G109" s="7" t="s">
        <v>90</v>
      </c>
      <c r="H109" s="7" t="s">
        <v>8</v>
      </c>
      <c r="I109" s="141" t="s">
        <v>96</v>
      </c>
    </row>
    <row r="110" spans="1:66" s="8" customFormat="1" ht="3" customHeight="1" x14ac:dyDescent="0.2">
      <c r="A110" s="10"/>
      <c r="B110" s="44"/>
      <c r="C110" s="44"/>
      <c r="D110" s="44"/>
      <c r="E110" s="30"/>
      <c r="F110" s="30"/>
      <c r="G110" s="7"/>
      <c r="H110" s="7"/>
      <c r="I110" s="141"/>
    </row>
    <row r="111" spans="1:66" s="8" customFormat="1" ht="25.15" customHeight="1" x14ac:dyDescent="0.2">
      <c r="A111" s="10"/>
      <c r="B111" s="373" t="s">
        <v>91</v>
      </c>
      <c r="C111" s="373"/>
      <c r="D111" s="350"/>
      <c r="E111" s="30" t="s">
        <v>92</v>
      </c>
      <c r="F111" s="228" t="str">
        <f>IF(AND(ISNUMBER(Qleach_storage_TIME2),ISNUMBER(Vsoil)),Qleach_storage_TIME2*(1-Frunoff)/(Vsoil*RHOsoil),"??")</f>
        <v>??</v>
      </c>
      <c r="G111" s="7" t="s">
        <v>90</v>
      </c>
      <c r="H111" s="7" t="s">
        <v>8</v>
      </c>
      <c r="I111" s="141" t="s">
        <v>97</v>
      </c>
    </row>
    <row r="112" spans="1:66" s="8" customFormat="1" ht="3" customHeight="1" x14ac:dyDescent="0.2">
      <c r="A112" s="10"/>
      <c r="B112" s="44"/>
      <c r="C112" s="44"/>
      <c r="D112" s="44"/>
      <c r="E112" s="30"/>
      <c r="F112" s="30"/>
      <c r="G112" s="7"/>
      <c r="H112" s="7"/>
      <c r="I112" s="141"/>
    </row>
    <row r="113" spans="1:66" s="8" customFormat="1" ht="30" customHeight="1" x14ac:dyDescent="0.2">
      <c r="A113" s="10"/>
      <c r="B113" s="362" t="s">
        <v>100</v>
      </c>
      <c r="C113" s="362"/>
      <c r="D113" s="44"/>
      <c r="E113" s="30" t="s">
        <v>102</v>
      </c>
      <c r="F113" s="228" t="str">
        <f>IF(ISNUMBER(F105),F105*1000/FLOWsurfacewater,"??")</f>
        <v>??</v>
      </c>
      <c r="G113" s="7" t="s">
        <v>124</v>
      </c>
      <c r="H113" s="7" t="s">
        <v>8</v>
      </c>
      <c r="I113" s="141" t="s">
        <v>462</v>
      </c>
    </row>
    <row r="114" spans="1:66" s="8" customFormat="1" ht="3" customHeight="1" x14ac:dyDescent="0.2">
      <c r="A114" s="10"/>
      <c r="B114" s="44"/>
      <c r="C114" s="44"/>
      <c r="D114" s="44"/>
      <c r="E114" s="30"/>
      <c r="F114" s="30"/>
      <c r="G114" s="7"/>
      <c r="H114" s="7"/>
      <c r="I114" s="141"/>
    </row>
    <row r="115" spans="1:66" s="8" customFormat="1" ht="30" customHeight="1" x14ac:dyDescent="0.2">
      <c r="A115" s="10"/>
      <c r="B115" s="362" t="s">
        <v>101</v>
      </c>
      <c r="C115" s="362"/>
      <c r="D115" s="44"/>
      <c r="E115" s="30" t="s">
        <v>103</v>
      </c>
      <c r="F115" s="228" t="str">
        <f>IF(ISNUMBER(F107),F107*1000/FLOWsurfacewater,"??")</f>
        <v>??</v>
      </c>
      <c r="G115" s="7" t="s">
        <v>124</v>
      </c>
      <c r="H115" s="7" t="s">
        <v>8</v>
      </c>
      <c r="I115" s="141" t="s">
        <v>463</v>
      </c>
    </row>
    <row r="116" spans="1:66" s="8" customFormat="1" x14ac:dyDescent="0.2">
      <c r="A116" s="10"/>
      <c r="B116" s="227"/>
      <c r="C116" s="227"/>
      <c r="D116" s="227"/>
      <c r="E116" s="30"/>
      <c r="F116" s="30"/>
      <c r="G116" s="7"/>
      <c r="H116" s="7"/>
      <c r="I116" s="141"/>
    </row>
    <row r="117" spans="1:66" s="8" customFormat="1" x14ac:dyDescent="0.2">
      <c r="A117" s="10"/>
      <c r="B117" s="121" t="s">
        <v>550</v>
      </c>
      <c r="C117" s="227"/>
      <c r="D117" s="227"/>
      <c r="E117" s="30"/>
      <c r="F117" s="30"/>
      <c r="G117" s="30"/>
      <c r="H117" s="7"/>
      <c r="I117" s="20"/>
      <c r="AT117" s="10"/>
      <c r="AU117" s="10"/>
      <c r="AV117" s="10"/>
      <c r="AW117" s="10"/>
      <c r="AX117" s="10"/>
      <c r="AY117" s="10"/>
      <c r="AZ117" s="10"/>
      <c r="BA117" s="10"/>
      <c r="BB117" s="10"/>
      <c r="BC117" s="10"/>
      <c r="BD117" s="10"/>
      <c r="BE117" s="10"/>
      <c r="BF117" s="10"/>
      <c r="BG117" s="10"/>
      <c r="BH117" s="10"/>
      <c r="BI117" s="10"/>
      <c r="BJ117" s="10"/>
      <c r="BK117" s="10"/>
      <c r="BL117" s="10"/>
      <c r="BM117" s="10"/>
      <c r="BN117" s="10"/>
    </row>
    <row r="118" spans="1:66" s="8" customFormat="1" ht="3" customHeight="1" x14ac:dyDescent="0.2">
      <c r="A118" s="10"/>
      <c r="B118" s="227"/>
      <c r="C118" s="227"/>
      <c r="D118" s="227"/>
      <c r="E118" s="30"/>
      <c r="F118" s="30"/>
      <c r="G118" s="30"/>
      <c r="H118" s="7"/>
      <c r="I118" s="20"/>
      <c r="AT118" s="10"/>
      <c r="AU118" s="10"/>
      <c r="AV118" s="10"/>
      <c r="AW118" s="10"/>
      <c r="AX118" s="10"/>
      <c r="AY118" s="10"/>
      <c r="AZ118" s="10"/>
      <c r="BA118" s="10"/>
      <c r="BB118" s="10"/>
      <c r="BC118" s="10"/>
      <c r="BD118" s="10"/>
      <c r="BE118" s="10"/>
      <c r="BF118" s="10"/>
      <c r="BG118" s="10"/>
      <c r="BH118" s="10"/>
      <c r="BI118" s="10"/>
      <c r="BJ118" s="10"/>
      <c r="BK118" s="10"/>
      <c r="BL118" s="10"/>
      <c r="BM118" s="10"/>
      <c r="BN118" s="10"/>
    </row>
    <row r="119" spans="1:66" s="8" customFormat="1" ht="15.4" customHeight="1" x14ac:dyDescent="0.2">
      <c r="A119" s="10"/>
      <c r="B119" s="362" t="s">
        <v>444</v>
      </c>
      <c r="C119" s="362"/>
      <c r="D119" s="362"/>
      <c r="E119" s="30" t="s">
        <v>445</v>
      </c>
      <c r="F119" s="228" t="str">
        <f>IF(AND(ISNUMBER(Elocal_soil),ISNUMBER(ksoil)),Elocal_soil*(1-Frunoff)/(DEPTHsoil*RHOsoil*ksoil),"??")</f>
        <v>??</v>
      </c>
      <c r="G119" s="7" t="s">
        <v>90</v>
      </c>
      <c r="H119" s="7" t="s">
        <v>8</v>
      </c>
      <c r="I119" s="141" t="s">
        <v>518</v>
      </c>
      <c r="AT119" s="10"/>
      <c r="AU119" s="10"/>
      <c r="AV119" s="10"/>
      <c r="AW119" s="10"/>
      <c r="AX119" s="10"/>
      <c r="AY119" s="10"/>
      <c r="AZ119" s="10"/>
      <c r="BA119" s="10"/>
      <c r="BB119" s="10"/>
      <c r="BC119" s="10"/>
      <c r="BD119" s="10"/>
      <c r="BE119" s="10"/>
      <c r="BF119" s="10"/>
      <c r="BG119" s="10"/>
      <c r="BH119" s="10"/>
      <c r="BI119" s="10"/>
      <c r="BJ119" s="10"/>
      <c r="BK119" s="10"/>
      <c r="BL119" s="10"/>
      <c r="BM119" s="10"/>
      <c r="BN119" s="10"/>
    </row>
    <row r="120" spans="1:66" s="8" customFormat="1" ht="3" customHeight="1" x14ac:dyDescent="0.2">
      <c r="A120" s="10"/>
      <c r="B120" s="227"/>
      <c r="C120" s="227"/>
      <c r="D120" s="227"/>
      <c r="E120" s="30"/>
      <c r="F120" s="30"/>
      <c r="G120" s="7"/>
      <c r="H120" s="7"/>
      <c r="I120" s="141"/>
      <c r="AT120" s="10"/>
      <c r="AU120" s="10"/>
      <c r="AV120" s="10"/>
      <c r="AW120" s="10"/>
      <c r="AX120" s="10"/>
      <c r="AY120" s="10"/>
      <c r="AZ120" s="10"/>
      <c r="BA120" s="10"/>
      <c r="BB120" s="10"/>
      <c r="BC120" s="10"/>
      <c r="BD120" s="10"/>
      <c r="BE120" s="10"/>
      <c r="BF120" s="10"/>
      <c r="BG120" s="10"/>
      <c r="BH120" s="10"/>
      <c r="BI120" s="10"/>
      <c r="BJ120" s="10"/>
      <c r="BK120" s="10"/>
      <c r="BL120" s="10"/>
      <c r="BM120" s="10"/>
      <c r="BN120" s="10"/>
    </row>
    <row r="121" spans="1:66" s="8" customFormat="1" ht="15" x14ac:dyDescent="0.2">
      <c r="A121" s="10"/>
      <c r="B121" s="362" t="s">
        <v>446</v>
      </c>
      <c r="C121" s="362"/>
      <c r="D121" s="362"/>
      <c r="E121" s="30" t="s">
        <v>447</v>
      </c>
      <c r="F121" s="228" t="str">
        <f>IF(AND(ISNUMBER(Clocal_soil_ss),ISNUMBER(Ksoil_water)),Clocal_soil_ss*RHOsoil/Ksoil_water,"??")</f>
        <v>??</v>
      </c>
      <c r="G121" s="7" t="s">
        <v>118</v>
      </c>
      <c r="H121" s="7" t="s">
        <v>8</v>
      </c>
      <c r="I121" s="141" t="s">
        <v>451</v>
      </c>
      <c r="AT121" s="10"/>
      <c r="AU121" s="10"/>
      <c r="AV121" s="10"/>
      <c r="AW121" s="10"/>
      <c r="AX121" s="10"/>
      <c r="AY121" s="10"/>
      <c r="AZ121" s="10"/>
      <c r="BA121" s="10"/>
      <c r="BB121" s="10"/>
      <c r="BC121" s="10"/>
      <c r="BD121" s="10"/>
      <c r="BE121" s="10"/>
      <c r="BF121" s="10"/>
      <c r="BG121" s="10"/>
      <c r="BH121" s="10"/>
      <c r="BI121" s="10"/>
      <c r="BJ121" s="10"/>
      <c r="BK121" s="10"/>
      <c r="BL121" s="10"/>
      <c r="BM121" s="10"/>
      <c r="BN121" s="10"/>
    </row>
    <row r="122" spans="1:66" s="8" customFormat="1" x14ac:dyDescent="0.2">
      <c r="A122" s="10"/>
      <c r="B122" s="227"/>
      <c r="C122" s="227"/>
      <c r="D122" s="227"/>
      <c r="E122" s="30"/>
      <c r="F122" s="30"/>
      <c r="G122" s="7"/>
      <c r="H122" s="7"/>
      <c r="I122" s="20"/>
      <c r="AT122" s="10"/>
      <c r="AU122" s="10"/>
      <c r="AV122" s="10"/>
      <c r="AW122" s="10"/>
      <c r="AX122" s="10"/>
      <c r="AY122" s="10"/>
      <c r="AZ122" s="10"/>
      <c r="BA122" s="10"/>
      <c r="BB122" s="10"/>
      <c r="BC122" s="10"/>
      <c r="BD122" s="10"/>
      <c r="BE122" s="10"/>
      <c r="BF122" s="10"/>
      <c r="BG122" s="10"/>
      <c r="BH122" s="10"/>
      <c r="BI122" s="10"/>
      <c r="BJ122" s="10"/>
      <c r="BK122" s="10"/>
      <c r="BL122" s="10"/>
      <c r="BM122" s="10"/>
      <c r="BN122" s="10"/>
    </row>
    <row r="123" spans="1:66" s="8" customFormat="1" x14ac:dyDescent="0.2">
      <c r="B123" s="86" t="s">
        <v>12</v>
      </c>
      <c r="C123" s="86"/>
      <c r="F123" s="87"/>
      <c r="G123" s="88"/>
      <c r="H123" s="74"/>
      <c r="I123" s="85"/>
    </row>
    <row r="124" spans="1:66" s="8" customFormat="1" x14ac:dyDescent="0.2">
      <c r="B124" s="86"/>
      <c r="G124" s="89"/>
      <c r="H124" s="74"/>
      <c r="I124" s="85"/>
    </row>
    <row r="125" spans="1:66" s="8" customFormat="1" x14ac:dyDescent="0.2">
      <c r="B125" s="307" t="s">
        <v>818</v>
      </c>
      <c r="G125" s="89"/>
      <c r="H125" s="74"/>
      <c r="I125" s="85"/>
    </row>
    <row r="126" spans="1:66" s="8" customFormat="1" x14ac:dyDescent="0.2">
      <c r="E126" s="85"/>
    </row>
    <row r="127" spans="1:66" s="8" customFormat="1" x14ac:dyDescent="0.2">
      <c r="E127" s="85"/>
    </row>
    <row r="128" spans="1:66" s="8" customFormat="1" x14ac:dyDescent="0.2">
      <c r="E128" s="85"/>
    </row>
    <row r="129" spans="5:5" s="8" customFormat="1" x14ac:dyDescent="0.2">
      <c r="E129" s="85"/>
    </row>
    <row r="130" spans="5:5" s="8" customFormat="1" x14ac:dyDescent="0.2">
      <c r="E130" s="85"/>
    </row>
    <row r="131" spans="5:5" s="8" customFormat="1" x14ac:dyDescent="0.2">
      <c r="E131" s="85"/>
    </row>
    <row r="132" spans="5:5" s="8" customFormat="1" x14ac:dyDescent="0.2">
      <c r="E132" s="85"/>
    </row>
    <row r="133" spans="5:5" s="8" customFormat="1" x14ac:dyDescent="0.2">
      <c r="E133" s="85"/>
    </row>
    <row r="134" spans="5:5" s="8" customFormat="1" x14ac:dyDescent="0.2">
      <c r="E134" s="85"/>
    </row>
    <row r="135" spans="5:5" s="8" customFormat="1" x14ac:dyDescent="0.2">
      <c r="E135" s="85"/>
    </row>
    <row r="136" spans="5:5" s="8" customFormat="1" x14ac:dyDescent="0.2">
      <c r="E136" s="85"/>
    </row>
    <row r="137" spans="5:5" s="8" customFormat="1" x14ac:dyDescent="0.2">
      <c r="E137" s="85"/>
    </row>
    <row r="138" spans="5:5" s="8" customFormat="1" x14ac:dyDescent="0.2">
      <c r="E138" s="85"/>
    </row>
    <row r="139" spans="5:5" s="8" customFormat="1" x14ac:dyDescent="0.2">
      <c r="E139" s="85"/>
    </row>
    <row r="140" spans="5:5" s="8" customFormat="1" x14ac:dyDescent="0.2">
      <c r="E140" s="85"/>
    </row>
    <row r="141" spans="5:5" s="8" customFormat="1" x14ac:dyDescent="0.2">
      <c r="E141" s="85"/>
    </row>
    <row r="142" spans="5:5" s="8" customFormat="1" x14ac:dyDescent="0.2">
      <c r="E142" s="85"/>
    </row>
    <row r="143" spans="5:5" s="8" customFormat="1" x14ac:dyDescent="0.2">
      <c r="E143" s="85"/>
    </row>
    <row r="144" spans="5:5" s="8" customFormat="1" x14ac:dyDescent="0.2">
      <c r="E144" s="85"/>
    </row>
    <row r="145" spans="5:5" s="8" customFormat="1" x14ac:dyDescent="0.2">
      <c r="E145" s="85"/>
    </row>
    <row r="146" spans="5:5" s="8" customFormat="1" x14ac:dyDescent="0.2">
      <c r="E146" s="85"/>
    </row>
    <row r="147" spans="5:5" s="8" customFormat="1" x14ac:dyDescent="0.2">
      <c r="E147" s="85"/>
    </row>
    <row r="148" spans="5:5" s="8" customFormat="1" x14ac:dyDescent="0.2">
      <c r="E148" s="85"/>
    </row>
    <row r="149" spans="5:5" s="8" customFormat="1" x14ac:dyDescent="0.2">
      <c r="E149" s="85"/>
    </row>
    <row r="150" spans="5:5" s="8" customFormat="1" x14ac:dyDescent="0.2">
      <c r="E150" s="85"/>
    </row>
    <row r="151" spans="5:5" s="8" customFormat="1" x14ac:dyDescent="0.2">
      <c r="E151" s="85"/>
    </row>
    <row r="152" spans="5:5" s="8" customFormat="1" x14ac:dyDescent="0.2">
      <c r="E152" s="85"/>
    </row>
    <row r="153" spans="5:5" s="8" customFormat="1" x14ac:dyDescent="0.2">
      <c r="E153" s="85"/>
    </row>
    <row r="154" spans="5:5" s="8" customFormat="1" x14ac:dyDescent="0.2">
      <c r="E154" s="85"/>
    </row>
    <row r="155" spans="5:5" s="8" customFormat="1" x14ac:dyDescent="0.2">
      <c r="E155" s="85"/>
    </row>
    <row r="156" spans="5:5" s="8" customFormat="1" x14ac:dyDescent="0.2">
      <c r="E156" s="85"/>
    </row>
    <row r="157" spans="5:5" s="8" customFormat="1" x14ac:dyDescent="0.2">
      <c r="E157" s="85"/>
    </row>
    <row r="158" spans="5:5" s="8" customFormat="1" x14ac:dyDescent="0.2">
      <c r="E158" s="85"/>
    </row>
    <row r="159" spans="5:5" s="8" customFormat="1" x14ac:dyDescent="0.2">
      <c r="E159" s="85"/>
    </row>
    <row r="160" spans="5:5" s="8" customFormat="1" x14ac:dyDescent="0.2">
      <c r="E160" s="85"/>
    </row>
    <row r="161" spans="5:5" s="8" customFormat="1" x14ac:dyDescent="0.2">
      <c r="E161" s="85"/>
    </row>
    <row r="162" spans="5:5" s="8" customFormat="1" x14ac:dyDescent="0.2">
      <c r="E162" s="85"/>
    </row>
    <row r="163" spans="5:5" s="8" customFormat="1" x14ac:dyDescent="0.2">
      <c r="E163" s="85"/>
    </row>
    <row r="164" spans="5:5" s="8" customFormat="1" x14ac:dyDescent="0.2">
      <c r="E164" s="85"/>
    </row>
    <row r="165" spans="5:5" s="8" customFormat="1" x14ac:dyDescent="0.2">
      <c r="E165" s="85"/>
    </row>
    <row r="166" spans="5:5" s="8" customFormat="1" x14ac:dyDescent="0.2">
      <c r="E166" s="85"/>
    </row>
    <row r="167" spans="5:5" s="8" customFormat="1" x14ac:dyDescent="0.2">
      <c r="E167" s="85"/>
    </row>
    <row r="168" spans="5:5" s="8" customFormat="1" x14ac:dyDescent="0.2">
      <c r="E168" s="85"/>
    </row>
    <row r="169" spans="5:5" s="8" customFormat="1" x14ac:dyDescent="0.2">
      <c r="E169" s="85"/>
    </row>
    <row r="170" spans="5:5" s="8" customFormat="1" x14ac:dyDescent="0.2">
      <c r="E170" s="85"/>
    </row>
    <row r="171" spans="5:5" s="8" customFormat="1" x14ac:dyDescent="0.2">
      <c r="E171" s="85"/>
    </row>
    <row r="172" spans="5:5" s="8" customFormat="1" x14ac:dyDescent="0.2">
      <c r="E172" s="85"/>
    </row>
    <row r="173" spans="5:5" s="8" customFormat="1" x14ac:dyDescent="0.2">
      <c r="E173" s="85"/>
    </row>
    <row r="174" spans="5:5" s="8" customFormat="1" x14ac:dyDescent="0.2">
      <c r="E174" s="85"/>
    </row>
    <row r="175" spans="5:5" s="8" customFormat="1" x14ac:dyDescent="0.2">
      <c r="E175" s="85"/>
    </row>
    <row r="176" spans="5:5" s="8" customFormat="1" x14ac:dyDescent="0.2">
      <c r="E176" s="85"/>
    </row>
    <row r="177" spans="5:5" s="8" customFormat="1" x14ac:dyDescent="0.2">
      <c r="E177" s="85"/>
    </row>
    <row r="178" spans="5:5" s="8" customFormat="1" x14ac:dyDescent="0.2">
      <c r="E178" s="85"/>
    </row>
    <row r="179" spans="5:5" s="8" customFormat="1" x14ac:dyDescent="0.2">
      <c r="E179" s="85"/>
    </row>
    <row r="180" spans="5:5" s="8" customFormat="1" x14ac:dyDescent="0.2">
      <c r="E180" s="85"/>
    </row>
    <row r="181" spans="5:5" s="8" customFormat="1" x14ac:dyDescent="0.2">
      <c r="E181" s="85"/>
    </row>
    <row r="182" spans="5:5" s="8" customFormat="1" x14ac:dyDescent="0.2">
      <c r="E182" s="85"/>
    </row>
    <row r="183" spans="5:5" s="8" customFormat="1" x14ac:dyDescent="0.2">
      <c r="E183" s="85"/>
    </row>
    <row r="184" spans="5:5" s="8" customFormat="1" x14ac:dyDescent="0.2">
      <c r="E184" s="85"/>
    </row>
    <row r="185" spans="5:5" s="8" customFormat="1" x14ac:dyDescent="0.2">
      <c r="E185" s="85"/>
    </row>
    <row r="186" spans="5:5" s="8" customFormat="1" x14ac:dyDescent="0.2">
      <c r="E186" s="85"/>
    </row>
    <row r="187" spans="5:5" s="8" customFormat="1" x14ac:dyDescent="0.2">
      <c r="E187" s="85"/>
    </row>
    <row r="188" spans="5:5" s="8" customFormat="1" x14ac:dyDescent="0.2">
      <c r="E188" s="85"/>
    </row>
    <row r="189" spans="5:5" s="8" customFormat="1" x14ac:dyDescent="0.2">
      <c r="E189" s="85"/>
    </row>
    <row r="190" spans="5:5" s="8" customFormat="1" x14ac:dyDescent="0.2">
      <c r="E190" s="85"/>
    </row>
    <row r="191" spans="5:5" s="8" customFormat="1" x14ac:dyDescent="0.2">
      <c r="E191" s="85"/>
    </row>
    <row r="192" spans="5:5" s="8" customFormat="1" x14ac:dyDescent="0.2">
      <c r="E192" s="85"/>
    </row>
    <row r="193" spans="5:5" s="8" customFormat="1" x14ac:dyDescent="0.2">
      <c r="E193" s="85"/>
    </row>
    <row r="194" spans="5:5" s="8" customFormat="1" x14ac:dyDescent="0.2">
      <c r="E194" s="85"/>
    </row>
    <row r="195" spans="5:5" s="8" customFormat="1" x14ac:dyDescent="0.2">
      <c r="E195" s="85"/>
    </row>
    <row r="196" spans="5:5" s="8" customFormat="1" x14ac:dyDescent="0.2">
      <c r="E196" s="85"/>
    </row>
    <row r="197" spans="5:5" s="8" customFormat="1" x14ac:dyDescent="0.2">
      <c r="E197" s="85"/>
    </row>
    <row r="198" spans="5:5" s="8" customFormat="1" x14ac:dyDescent="0.2">
      <c r="E198" s="85"/>
    </row>
    <row r="199" spans="5:5" s="8" customFormat="1" x14ac:dyDescent="0.2">
      <c r="E199" s="85"/>
    </row>
    <row r="200" spans="5:5" s="8" customFormat="1" x14ac:dyDescent="0.2">
      <c r="E200" s="85"/>
    </row>
    <row r="201" spans="5:5" s="8" customFormat="1" x14ac:dyDescent="0.2">
      <c r="E201" s="85"/>
    </row>
    <row r="202" spans="5:5" s="8" customFormat="1" x14ac:dyDescent="0.2">
      <c r="E202" s="85"/>
    </row>
    <row r="203" spans="5:5" s="8" customFormat="1" x14ac:dyDescent="0.2">
      <c r="E203" s="85"/>
    </row>
    <row r="204" spans="5:5" s="8" customFormat="1" x14ac:dyDescent="0.2">
      <c r="E204" s="85"/>
    </row>
    <row r="205" spans="5:5" s="8" customFormat="1" x14ac:dyDescent="0.2">
      <c r="E205" s="85"/>
    </row>
    <row r="206" spans="5:5" s="8" customFormat="1" x14ac:dyDescent="0.2">
      <c r="E206" s="85"/>
    </row>
    <row r="207" spans="5:5" s="8" customFormat="1" x14ac:dyDescent="0.2">
      <c r="E207" s="85"/>
    </row>
    <row r="208" spans="5:5" s="8" customFormat="1" x14ac:dyDescent="0.2">
      <c r="E208" s="85"/>
    </row>
    <row r="209" spans="5:5" s="8" customFormat="1" x14ac:dyDescent="0.2">
      <c r="E209" s="85"/>
    </row>
    <row r="210" spans="5:5" s="8" customFormat="1" x14ac:dyDescent="0.2">
      <c r="E210" s="85"/>
    </row>
    <row r="211" spans="5:5" s="8" customFormat="1" x14ac:dyDescent="0.2">
      <c r="E211" s="85"/>
    </row>
    <row r="212" spans="5:5" s="8" customFormat="1" x14ac:dyDescent="0.2">
      <c r="E212" s="85"/>
    </row>
    <row r="213" spans="5:5" s="8" customFormat="1" x14ac:dyDescent="0.2">
      <c r="E213" s="85"/>
    </row>
    <row r="214" spans="5:5" s="8" customFormat="1" x14ac:dyDescent="0.2">
      <c r="E214" s="85"/>
    </row>
    <row r="215" spans="5:5" s="8" customFormat="1" x14ac:dyDescent="0.2">
      <c r="E215" s="85"/>
    </row>
    <row r="216" spans="5:5" s="8" customFormat="1" x14ac:dyDescent="0.2">
      <c r="E216" s="85"/>
    </row>
    <row r="217" spans="5:5" s="8" customFormat="1" x14ac:dyDescent="0.2">
      <c r="E217" s="85"/>
    </row>
    <row r="218" spans="5:5" s="8" customFormat="1" x14ac:dyDescent="0.2">
      <c r="E218" s="85"/>
    </row>
    <row r="219" spans="5:5" s="8" customFormat="1" x14ac:dyDescent="0.2">
      <c r="E219" s="85"/>
    </row>
    <row r="220" spans="5:5" s="8" customFormat="1" x14ac:dyDescent="0.2">
      <c r="E220" s="85"/>
    </row>
    <row r="221" spans="5:5" s="8" customFormat="1" x14ac:dyDescent="0.2">
      <c r="E221" s="85"/>
    </row>
    <row r="222" spans="5:5" s="8" customFormat="1" x14ac:dyDescent="0.2">
      <c r="E222" s="85"/>
    </row>
    <row r="223" spans="5:5" s="8" customFormat="1" x14ac:dyDescent="0.2">
      <c r="E223" s="85"/>
    </row>
    <row r="224" spans="5:5" s="8" customFormat="1" x14ac:dyDescent="0.2">
      <c r="E224" s="85"/>
    </row>
    <row r="225" spans="5:5" s="8" customFormat="1" x14ac:dyDescent="0.2">
      <c r="E225" s="85"/>
    </row>
    <row r="226" spans="5:5" s="8" customFormat="1" x14ac:dyDescent="0.2">
      <c r="E226" s="85"/>
    </row>
    <row r="227" spans="5:5" s="8" customFormat="1" x14ac:dyDescent="0.2">
      <c r="E227" s="85"/>
    </row>
    <row r="228" spans="5:5" s="8" customFormat="1" x14ac:dyDescent="0.2">
      <c r="E228" s="85"/>
    </row>
    <row r="229" spans="5:5" s="8" customFormat="1" x14ac:dyDescent="0.2">
      <c r="E229" s="85"/>
    </row>
    <row r="230" spans="5:5" s="8" customFormat="1" x14ac:dyDescent="0.2">
      <c r="E230" s="85"/>
    </row>
    <row r="231" spans="5:5" s="8" customFormat="1" x14ac:dyDescent="0.2">
      <c r="E231" s="85"/>
    </row>
    <row r="232" spans="5:5" s="8" customFormat="1" x14ac:dyDescent="0.2">
      <c r="E232" s="85"/>
    </row>
    <row r="233" spans="5:5" s="8" customFormat="1" x14ac:dyDescent="0.2">
      <c r="E233" s="85"/>
    </row>
    <row r="234" spans="5:5" s="8" customFormat="1" x14ac:dyDescent="0.2">
      <c r="E234" s="85"/>
    </row>
    <row r="235" spans="5:5" s="8" customFormat="1" x14ac:dyDescent="0.2">
      <c r="E235" s="85"/>
    </row>
    <row r="236" spans="5:5" s="8" customFormat="1" x14ac:dyDescent="0.2">
      <c r="E236" s="85"/>
    </row>
    <row r="237" spans="5:5" s="8" customFormat="1" x14ac:dyDescent="0.2">
      <c r="E237" s="85"/>
    </row>
    <row r="238" spans="5:5" s="8" customFormat="1" x14ac:dyDescent="0.2">
      <c r="E238" s="85"/>
    </row>
    <row r="239" spans="5:5" s="8" customFormat="1" x14ac:dyDescent="0.2">
      <c r="E239" s="85"/>
    </row>
    <row r="240" spans="5:5" s="8" customFormat="1" x14ac:dyDescent="0.2">
      <c r="E240" s="85"/>
    </row>
    <row r="241" spans="5:5" s="8" customFormat="1" x14ac:dyDescent="0.2">
      <c r="E241" s="85"/>
    </row>
    <row r="242" spans="5:5" s="8" customFormat="1" x14ac:dyDescent="0.2">
      <c r="E242" s="85"/>
    </row>
    <row r="243" spans="5:5" s="8" customFormat="1" x14ac:dyDescent="0.2">
      <c r="E243" s="85"/>
    </row>
    <row r="244" spans="5:5" s="8" customFormat="1" x14ac:dyDescent="0.2">
      <c r="E244" s="85"/>
    </row>
    <row r="245" spans="5:5" s="8" customFormat="1" x14ac:dyDescent="0.2">
      <c r="E245" s="85"/>
    </row>
    <row r="246" spans="5:5" s="8" customFormat="1" x14ac:dyDescent="0.2">
      <c r="E246" s="85"/>
    </row>
    <row r="247" spans="5:5" s="8" customFormat="1" x14ac:dyDescent="0.2">
      <c r="E247" s="85"/>
    </row>
    <row r="248" spans="5:5" s="8" customFormat="1" x14ac:dyDescent="0.2">
      <c r="E248" s="85"/>
    </row>
    <row r="249" spans="5:5" s="8" customFormat="1" x14ac:dyDescent="0.2">
      <c r="E249" s="85"/>
    </row>
    <row r="250" spans="5:5" s="8" customFormat="1" x14ac:dyDescent="0.2">
      <c r="E250" s="85"/>
    </row>
    <row r="251" spans="5:5" s="8" customFormat="1" x14ac:dyDescent="0.2">
      <c r="E251" s="85"/>
    </row>
    <row r="252" spans="5:5" s="8" customFormat="1" x14ac:dyDescent="0.2">
      <c r="E252" s="85"/>
    </row>
    <row r="253" spans="5:5" s="8" customFormat="1" x14ac:dyDescent="0.2">
      <c r="E253" s="85"/>
    </row>
    <row r="254" spans="5:5" s="8" customFormat="1" x14ac:dyDescent="0.2">
      <c r="E254" s="85"/>
    </row>
    <row r="255" spans="5:5" s="8" customFormat="1" x14ac:dyDescent="0.2">
      <c r="E255" s="85"/>
    </row>
    <row r="256" spans="5:5" s="8" customFormat="1" x14ac:dyDescent="0.2">
      <c r="E256" s="85"/>
    </row>
    <row r="257" spans="5:5" s="8" customFormat="1" x14ac:dyDescent="0.2">
      <c r="E257" s="85"/>
    </row>
    <row r="258" spans="5:5" s="8" customFormat="1" x14ac:dyDescent="0.2">
      <c r="E258" s="85"/>
    </row>
    <row r="259" spans="5:5" s="8" customFormat="1" x14ac:dyDescent="0.2">
      <c r="E259" s="85"/>
    </row>
    <row r="260" spans="5:5" s="8" customFormat="1" x14ac:dyDescent="0.2">
      <c r="E260" s="85"/>
    </row>
    <row r="261" spans="5:5" s="8" customFormat="1" x14ac:dyDescent="0.2">
      <c r="E261" s="85"/>
    </row>
    <row r="262" spans="5:5" s="8" customFormat="1" x14ac:dyDescent="0.2">
      <c r="E262" s="85"/>
    </row>
    <row r="263" spans="5:5" s="8" customFormat="1" x14ac:dyDescent="0.2">
      <c r="E263" s="85"/>
    </row>
    <row r="264" spans="5:5" s="8" customFormat="1" x14ac:dyDescent="0.2">
      <c r="E264" s="85"/>
    </row>
    <row r="265" spans="5:5" s="8" customFormat="1" x14ac:dyDescent="0.2">
      <c r="E265" s="85"/>
    </row>
    <row r="266" spans="5:5" s="8" customFormat="1" x14ac:dyDescent="0.2">
      <c r="E266" s="85"/>
    </row>
    <row r="267" spans="5:5" s="8" customFormat="1" x14ac:dyDescent="0.2">
      <c r="E267" s="85"/>
    </row>
    <row r="268" spans="5:5" s="8" customFormat="1" x14ac:dyDescent="0.2">
      <c r="E268" s="85"/>
    </row>
    <row r="269" spans="5:5" s="8" customFormat="1" x14ac:dyDescent="0.2">
      <c r="E269" s="85"/>
    </row>
    <row r="270" spans="5:5" s="8" customFormat="1" x14ac:dyDescent="0.2">
      <c r="E270" s="85"/>
    </row>
    <row r="271" spans="5:5" s="8" customFormat="1" x14ac:dyDescent="0.2">
      <c r="E271" s="85"/>
    </row>
    <row r="272" spans="5:5" s="8" customFormat="1" x14ac:dyDescent="0.2">
      <c r="E272" s="85"/>
    </row>
    <row r="273" spans="5:5" s="8" customFormat="1" x14ac:dyDescent="0.2">
      <c r="E273" s="85"/>
    </row>
    <row r="274" spans="5:5" s="8" customFormat="1" x14ac:dyDescent="0.2">
      <c r="E274" s="85"/>
    </row>
    <row r="275" spans="5:5" s="8" customFormat="1" x14ac:dyDescent="0.2">
      <c r="E275" s="85"/>
    </row>
    <row r="276" spans="5:5" s="8" customFormat="1" x14ac:dyDescent="0.2">
      <c r="E276" s="85"/>
    </row>
    <row r="277" spans="5:5" s="8" customFormat="1" x14ac:dyDescent="0.2">
      <c r="E277" s="85"/>
    </row>
    <row r="278" spans="5:5" s="8" customFormat="1" x14ac:dyDescent="0.2">
      <c r="E278" s="85"/>
    </row>
    <row r="279" spans="5:5" s="8" customFormat="1" x14ac:dyDescent="0.2">
      <c r="E279" s="85"/>
    </row>
    <row r="280" spans="5:5" s="8" customFormat="1" x14ac:dyDescent="0.2">
      <c r="E280" s="85"/>
    </row>
    <row r="281" spans="5:5" s="8" customFormat="1" x14ac:dyDescent="0.2">
      <c r="E281" s="85"/>
    </row>
    <row r="282" spans="5:5" s="8" customFormat="1" x14ac:dyDescent="0.2">
      <c r="E282" s="85"/>
    </row>
    <row r="283" spans="5:5" s="8" customFormat="1" x14ac:dyDescent="0.2">
      <c r="E283" s="85"/>
    </row>
    <row r="284" spans="5:5" s="8" customFormat="1" x14ac:dyDescent="0.2">
      <c r="E284" s="85"/>
    </row>
    <row r="285" spans="5:5" s="8" customFormat="1" x14ac:dyDescent="0.2">
      <c r="E285" s="85"/>
    </row>
    <row r="286" spans="5:5" s="8" customFormat="1" x14ac:dyDescent="0.2">
      <c r="E286" s="85"/>
    </row>
    <row r="287" spans="5:5" s="8" customFormat="1" x14ac:dyDescent="0.2">
      <c r="E287" s="85"/>
    </row>
    <row r="288" spans="5:5" s="8" customFormat="1" x14ac:dyDescent="0.2">
      <c r="E288" s="85"/>
    </row>
    <row r="289" spans="5:5" s="8" customFormat="1" x14ac:dyDescent="0.2">
      <c r="E289" s="85"/>
    </row>
    <row r="290" spans="5:5" s="8" customFormat="1" x14ac:dyDescent="0.2">
      <c r="E290" s="85"/>
    </row>
    <row r="291" spans="5:5" s="8" customFormat="1" x14ac:dyDescent="0.2">
      <c r="E291" s="85"/>
    </row>
    <row r="292" spans="5:5" s="8" customFormat="1" x14ac:dyDescent="0.2">
      <c r="E292" s="85"/>
    </row>
    <row r="293" spans="5:5" s="8" customFormat="1" x14ac:dyDescent="0.2">
      <c r="E293" s="85"/>
    </row>
    <row r="294" spans="5:5" s="8" customFormat="1" x14ac:dyDescent="0.2">
      <c r="E294" s="85"/>
    </row>
    <row r="295" spans="5:5" s="8" customFormat="1" x14ac:dyDescent="0.2">
      <c r="E295" s="85"/>
    </row>
    <row r="296" spans="5:5" s="8" customFormat="1" x14ac:dyDescent="0.2">
      <c r="E296" s="85"/>
    </row>
    <row r="297" spans="5:5" s="8" customFormat="1" x14ac:dyDescent="0.2">
      <c r="E297" s="85"/>
    </row>
    <row r="298" spans="5:5" s="8" customFormat="1" x14ac:dyDescent="0.2">
      <c r="E298" s="85"/>
    </row>
    <row r="299" spans="5:5" s="8" customFormat="1" x14ac:dyDescent="0.2">
      <c r="E299" s="85"/>
    </row>
    <row r="300" spans="5:5" s="8" customFormat="1" x14ac:dyDescent="0.2">
      <c r="E300" s="85"/>
    </row>
    <row r="301" spans="5:5" s="8" customFormat="1" x14ac:dyDescent="0.2">
      <c r="E301" s="85"/>
    </row>
    <row r="302" spans="5:5" s="8" customFormat="1" x14ac:dyDescent="0.2">
      <c r="E302" s="85"/>
    </row>
    <row r="303" spans="5:5" s="8" customFormat="1" x14ac:dyDescent="0.2">
      <c r="E303" s="85"/>
    </row>
    <row r="304" spans="5:5" s="8" customFormat="1" x14ac:dyDescent="0.2">
      <c r="E304" s="85"/>
    </row>
    <row r="305" spans="5:5" s="8" customFormat="1" x14ac:dyDescent="0.2">
      <c r="E305" s="85"/>
    </row>
    <row r="306" spans="5:5" s="8" customFormat="1" x14ac:dyDescent="0.2">
      <c r="E306" s="85"/>
    </row>
    <row r="307" spans="5:5" s="8" customFormat="1" x14ac:dyDescent="0.2">
      <c r="E307" s="85"/>
    </row>
    <row r="308" spans="5:5" s="8" customFormat="1" x14ac:dyDescent="0.2">
      <c r="E308" s="85"/>
    </row>
    <row r="309" spans="5:5" s="8" customFormat="1" x14ac:dyDescent="0.2">
      <c r="E309" s="85"/>
    </row>
    <row r="310" spans="5:5" s="8" customFormat="1" x14ac:dyDescent="0.2">
      <c r="E310" s="85"/>
    </row>
    <row r="311" spans="5:5" s="8" customFormat="1" x14ac:dyDescent="0.2">
      <c r="E311" s="85"/>
    </row>
    <row r="312" spans="5:5" s="8" customFormat="1" x14ac:dyDescent="0.2">
      <c r="E312" s="85"/>
    </row>
    <row r="313" spans="5:5" s="8" customFormat="1" x14ac:dyDescent="0.2">
      <c r="E313" s="85"/>
    </row>
    <row r="314" spans="5:5" s="8" customFormat="1" x14ac:dyDescent="0.2">
      <c r="E314" s="85"/>
    </row>
    <row r="315" spans="5:5" s="8" customFormat="1" x14ac:dyDescent="0.2">
      <c r="E315" s="85"/>
    </row>
    <row r="316" spans="5:5" s="8" customFormat="1" x14ac:dyDescent="0.2">
      <c r="E316" s="85"/>
    </row>
    <row r="317" spans="5:5" s="8" customFormat="1" x14ac:dyDescent="0.2">
      <c r="E317" s="85"/>
    </row>
    <row r="318" spans="5:5" s="8" customFormat="1" x14ac:dyDescent="0.2">
      <c r="E318" s="85"/>
    </row>
    <row r="319" spans="5:5" s="8" customFormat="1" x14ac:dyDescent="0.2">
      <c r="E319" s="85"/>
    </row>
    <row r="320" spans="5:5" s="8" customFormat="1" x14ac:dyDescent="0.2">
      <c r="E320" s="85"/>
    </row>
    <row r="321" spans="5:5" s="8" customFormat="1" x14ac:dyDescent="0.2">
      <c r="E321" s="85"/>
    </row>
    <row r="322" spans="5:5" s="8" customFormat="1" x14ac:dyDescent="0.2">
      <c r="E322" s="85"/>
    </row>
    <row r="323" spans="5:5" s="8" customFormat="1" x14ac:dyDescent="0.2">
      <c r="E323" s="85"/>
    </row>
    <row r="324" spans="5:5" s="8" customFormat="1" x14ac:dyDescent="0.2">
      <c r="E324" s="85"/>
    </row>
    <row r="325" spans="5:5" s="8" customFormat="1" x14ac:dyDescent="0.2">
      <c r="E325" s="85"/>
    </row>
    <row r="326" spans="5:5" s="8" customFormat="1" x14ac:dyDescent="0.2">
      <c r="E326" s="85"/>
    </row>
    <row r="327" spans="5:5" s="8" customFormat="1" x14ac:dyDescent="0.2">
      <c r="E327" s="85"/>
    </row>
    <row r="328" spans="5:5" s="8" customFormat="1" x14ac:dyDescent="0.2">
      <c r="E328" s="85"/>
    </row>
    <row r="329" spans="5:5" s="8" customFormat="1" x14ac:dyDescent="0.2">
      <c r="E329" s="85"/>
    </row>
    <row r="330" spans="5:5" s="8" customFormat="1" x14ac:dyDescent="0.2">
      <c r="E330" s="85"/>
    </row>
    <row r="331" spans="5:5" s="8" customFormat="1" x14ac:dyDescent="0.2">
      <c r="E331" s="85"/>
    </row>
    <row r="332" spans="5:5" s="8" customFormat="1" x14ac:dyDescent="0.2">
      <c r="E332" s="85"/>
    </row>
    <row r="333" spans="5:5" s="8" customFormat="1" x14ac:dyDescent="0.2">
      <c r="E333" s="85"/>
    </row>
    <row r="334" spans="5:5" s="8" customFormat="1" x14ac:dyDescent="0.2">
      <c r="E334" s="85"/>
    </row>
    <row r="335" spans="5:5" s="8" customFormat="1" x14ac:dyDescent="0.2">
      <c r="E335" s="85"/>
    </row>
    <row r="336" spans="5:5" s="8" customFormat="1" x14ac:dyDescent="0.2">
      <c r="E336" s="85"/>
    </row>
    <row r="337" spans="5:5" s="8" customFormat="1" x14ac:dyDescent="0.2">
      <c r="E337" s="85"/>
    </row>
    <row r="338" spans="5:5" s="8" customFormat="1" x14ac:dyDescent="0.2">
      <c r="E338" s="85"/>
    </row>
    <row r="339" spans="5:5" s="8" customFormat="1" x14ac:dyDescent="0.2">
      <c r="E339" s="85"/>
    </row>
    <row r="340" spans="5:5" s="8" customFormat="1" x14ac:dyDescent="0.2">
      <c r="E340" s="85"/>
    </row>
    <row r="341" spans="5:5" s="8" customFormat="1" x14ac:dyDescent="0.2">
      <c r="E341" s="85"/>
    </row>
    <row r="342" spans="5:5" s="8" customFormat="1" x14ac:dyDescent="0.2">
      <c r="E342" s="85"/>
    </row>
    <row r="343" spans="5:5" s="8" customFormat="1" x14ac:dyDescent="0.2">
      <c r="E343" s="85"/>
    </row>
    <row r="344" spans="5:5" s="8" customFormat="1" x14ac:dyDescent="0.2">
      <c r="E344" s="85"/>
    </row>
    <row r="345" spans="5:5" s="8" customFormat="1" x14ac:dyDescent="0.2">
      <c r="E345" s="85"/>
    </row>
    <row r="346" spans="5:5" s="8" customFormat="1" x14ac:dyDescent="0.2">
      <c r="E346" s="85"/>
    </row>
    <row r="347" spans="5:5" s="8" customFormat="1" x14ac:dyDescent="0.2">
      <c r="E347" s="85"/>
    </row>
    <row r="348" spans="5:5" s="8" customFormat="1" x14ac:dyDescent="0.2">
      <c r="E348" s="85"/>
    </row>
    <row r="349" spans="5:5" s="8" customFormat="1" x14ac:dyDescent="0.2">
      <c r="E349" s="85"/>
    </row>
    <row r="350" spans="5:5" s="8" customFormat="1" x14ac:dyDescent="0.2">
      <c r="E350" s="85"/>
    </row>
    <row r="351" spans="5:5" s="8" customFormat="1" x14ac:dyDescent="0.2">
      <c r="E351" s="85"/>
    </row>
    <row r="352" spans="5:5" s="8" customFormat="1" x14ac:dyDescent="0.2">
      <c r="E352" s="85"/>
    </row>
    <row r="353" spans="5:5" s="8" customFormat="1" x14ac:dyDescent="0.2">
      <c r="E353" s="85"/>
    </row>
    <row r="354" spans="5:5" s="8" customFormat="1" x14ac:dyDescent="0.2">
      <c r="E354" s="85"/>
    </row>
    <row r="355" spans="5:5" s="8" customFormat="1" x14ac:dyDescent="0.2">
      <c r="E355" s="85"/>
    </row>
    <row r="356" spans="5:5" s="8" customFormat="1" x14ac:dyDescent="0.2">
      <c r="E356" s="85"/>
    </row>
    <row r="357" spans="5:5" s="8" customFormat="1" x14ac:dyDescent="0.2">
      <c r="E357" s="85"/>
    </row>
    <row r="358" spans="5:5" s="8" customFormat="1" x14ac:dyDescent="0.2">
      <c r="E358" s="85"/>
    </row>
    <row r="359" spans="5:5" s="8" customFormat="1" x14ac:dyDescent="0.2">
      <c r="E359" s="85"/>
    </row>
    <row r="360" spans="5:5" s="8" customFormat="1" x14ac:dyDescent="0.2">
      <c r="E360" s="85"/>
    </row>
    <row r="361" spans="5:5" s="8" customFormat="1" x14ac:dyDescent="0.2">
      <c r="E361" s="85"/>
    </row>
    <row r="362" spans="5:5" s="8" customFormat="1" x14ac:dyDescent="0.2">
      <c r="E362" s="85"/>
    </row>
    <row r="363" spans="5:5" s="8" customFormat="1" x14ac:dyDescent="0.2">
      <c r="E363" s="85"/>
    </row>
    <row r="364" spans="5:5" s="8" customFormat="1" x14ac:dyDescent="0.2">
      <c r="E364" s="85"/>
    </row>
    <row r="365" spans="5:5" s="8" customFormat="1" x14ac:dyDescent="0.2">
      <c r="E365" s="85"/>
    </row>
    <row r="366" spans="5:5" s="8" customFormat="1" x14ac:dyDescent="0.2">
      <c r="E366" s="85"/>
    </row>
    <row r="367" spans="5:5" s="8" customFormat="1" x14ac:dyDescent="0.2">
      <c r="E367" s="85"/>
    </row>
    <row r="368" spans="5:5" s="8" customFormat="1" x14ac:dyDescent="0.2">
      <c r="E368" s="85"/>
    </row>
    <row r="369" spans="5:5" s="8" customFormat="1" x14ac:dyDescent="0.2">
      <c r="E369" s="85"/>
    </row>
    <row r="370" spans="5:5" s="8" customFormat="1" x14ac:dyDescent="0.2">
      <c r="E370" s="85"/>
    </row>
    <row r="371" spans="5:5" s="8" customFormat="1" x14ac:dyDescent="0.2">
      <c r="E371" s="85"/>
    </row>
    <row r="372" spans="5:5" s="8" customFormat="1" x14ac:dyDescent="0.2">
      <c r="E372" s="85"/>
    </row>
    <row r="373" spans="5:5" s="8" customFormat="1" x14ac:dyDescent="0.2">
      <c r="E373" s="85"/>
    </row>
    <row r="374" spans="5:5" s="8" customFormat="1" x14ac:dyDescent="0.2">
      <c r="E374" s="85"/>
    </row>
    <row r="375" spans="5:5" s="8" customFormat="1" x14ac:dyDescent="0.2">
      <c r="E375" s="85"/>
    </row>
    <row r="376" spans="5:5" s="8" customFormat="1" x14ac:dyDescent="0.2">
      <c r="E376" s="85"/>
    </row>
    <row r="377" spans="5:5" s="8" customFormat="1" x14ac:dyDescent="0.2">
      <c r="E377" s="85"/>
    </row>
    <row r="378" spans="5:5" s="8" customFormat="1" x14ac:dyDescent="0.2">
      <c r="E378" s="85"/>
    </row>
    <row r="379" spans="5:5" s="8" customFormat="1" x14ac:dyDescent="0.2">
      <c r="E379" s="85"/>
    </row>
    <row r="380" spans="5:5" s="8" customFormat="1" x14ac:dyDescent="0.2">
      <c r="E380" s="85"/>
    </row>
    <row r="381" spans="5:5" s="8" customFormat="1" x14ac:dyDescent="0.2">
      <c r="E381" s="85"/>
    </row>
    <row r="382" spans="5:5" s="8" customFormat="1" x14ac:dyDescent="0.2">
      <c r="E382" s="85"/>
    </row>
    <row r="383" spans="5:5" s="8" customFormat="1" x14ac:dyDescent="0.2">
      <c r="E383" s="85"/>
    </row>
    <row r="384" spans="5:5" s="8" customFormat="1" x14ac:dyDescent="0.2">
      <c r="E384" s="85"/>
    </row>
    <row r="385" spans="5:5" s="8" customFormat="1" x14ac:dyDescent="0.2">
      <c r="E385" s="85"/>
    </row>
    <row r="386" spans="5:5" s="8" customFormat="1" x14ac:dyDescent="0.2">
      <c r="E386" s="85"/>
    </row>
    <row r="387" spans="5:5" s="8" customFormat="1" x14ac:dyDescent="0.2">
      <c r="E387" s="85"/>
    </row>
    <row r="388" spans="5:5" s="8" customFormat="1" x14ac:dyDescent="0.2">
      <c r="E388" s="85"/>
    </row>
    <row r="389" spans="5:5" s="8" customFormat="1" x14ac:dyDescent="0.2">
      <c r="E389" s="85"/>
    </row>
    <row r="390" spans="5:5" s="8" customFormat="1" x14ac:dyDescent="0.2">
      <c r="E390" s="85"/>
    </row>
    <row r="391" spans="5:5" s="8" customFormat="1" x14ac:dyDescent="0.2">
      <c r="E391" s="85"/>
    </row>
    <row r="392" spans="5:5" s="8" customFormat="1" x14ac:dyDescent="0.2">
      <c r="E392" s="85"/>
    </row>
    <row r="393" spans="5:5" s="8" customFormat="1" x14ac:dyDescent="0.2">
      <c r="E393" s="85"/>
    </row>
    <row r="394" spans="5:5" s="8" customFormat="1" x14ac:dyDescent="0.2">
      <c r="E394" s="85"/>
    </row>
    <row r="395" spans="5:5" s="8" customFormat="1" x14ac:dyDescent="0.2">
      <c r="E395" s="85"/>
    </row>
    <row r="396" spans="5:5" s="8" customFormat="1" x14ac:dyDescent="0.2">
      <c r="E396" s="85"/>
    </row>
    <row r="397" spans="5:5" s="8" customFormat="1" x14ac:dyDescent="0.2">
      <c r="E397" s="85"/>
    </row>
    <row r="398" spans="5:5" s="8" customFormat="1" x14ac:dyDescent="0.2">
      <c r="E398" s="85"/>
    </row>
    <row r="399" spans="5:5" s="8" customFormat="1" x14ac:dyDescent="0.2">
      <c r="E399" s="85"/>
    </row>
    <row r="400" spans="5:5" s="8" customFormat="1" x14ac:dyDescent="0.2">
      <c r="E400" s="85"/>
    </row>
    <row r="401" spans="5:5" s="8" customFormat="1" x14ac:dyDescent="0.2">
      <c r="E401" s="85"/>
    </row>
    <row r="402" spans="5:5" s="8" customFormat="1" x14ac:dyDescent="0.2">
      <c r="E402" s="85"/>
    </row>
    <row r="403" spans="5:5" s="8" customFormat="1" x14ac:dyDescent="0.2">
      <c r="E403" s="85"/>
    </row>
    <row r="404" spans="5:5" s="8" customFormat="1" x14ac:dyDescent="0.2">
      <c r="E404" s="85"/>
    </row>
    <row r="405" spans="5:5" s="8" customFormat="1" x14ac:dyDescent="0.2">
      <c r="E405" s="85"/>
    </row>
    <row r="406" spans="5:5" s="8" customFormat="1" x14ac:dyDescent="0.2">
      <c r="E406" s="85"/>
    </row>
    <row r="407" spans="5:5" s="8" customFormat="1" x14ac:dyDescent="0.2">
      <c r="E407" s="85"/>
    </row>
    <row r="408" spans="5:5" s="8" customFormat="1" x14ac:dyDescent="0.2">
      <c r="E408" s="85"/>
    </row>
    <row r="409" spans="5:5" s="8" customFormat="1" x14ac:dyDescent="0.2">
      <c r="E409" s="85"/>
    </row>
    <row r="410" spans="5:5" s="8" customFormat="1" x14ac:dyDescent="0.2">
      <c r="E410" s="85"/>
    </row>
    <row r="411" spans="5:5" s="8" customFormat="1" x14ac:dyDescent="0.2">
      <c r="E411" s="85"/>
    </row>
    <row r="412" spans="5:5" s="8" customFormat="1" x14ac:dyDescent="0.2">
      <c r="E412" s="85"/>
    </row>
    <row r="413" spans="5:5" s="8" customFormat="1" x14ac:dyDescent="0.2">
      <c r="E413" s="85"/>
    </row>
    <row r="414" spans="5:5" s="8" customFormat="1" x14ac:dyDescent="0.2">
      <c r="E414" s="85"/>
    </row>
    <row r="415" spans="5:5" s="8" customFormat="1" x14ac:dyDescent="0.2">
      <c r="E415" s="85"/>
    </row>
    <row r="416" spans="5:5" s="8" customFormat="1" x14ac:dyDescent="0.2">
      <c r="E416" s="85"/>
    </row>
    <row r="417" spans="5:5" s="8" customFormat="1" x14ac:dyDescent="0.2">
      <c r="E417" s="85"/>
    </row>
    <row r="418" spans="5:5" s="8" customFormat="1" x14ac:dyDescent="0.2">
      <c r="E418" s="85"/>
    </row>
    <row r="419" spans="5:5" s="8" customFormat="1" x14ac:dyDescent="0.2">
      <c r="E419" s="85"/>
    </row>
    <row r="420" spans="5:5" s="8" customFormat="1" x14ac:dyDescent="0.2">
      <c r="E420" s="85"/>
    </row>
    <row r="421" spans="5:5" s="8" customFormat="1" x14ac:dyDescent="0.2">
      <c r="E421" s="85"/>
    </row>
    <row r="422" spans="5:5" s="8" customFormat="1" x14ac:dyDescent="0.2">
      <c r="E422" s="85"/>
    </row>
    <row r="423" spans="5:5" s="8" customFormat="1" x14ac:dyDescent="0.2">
      <c r="E423" s="85"/>
    </row>
    <row r="424" spans="5:5" s="8" customFormat="1" x14ac:dyDescent="0.2">
      <c r="E424" s="85"/>
    </row>
    <row r="425" spans="5:5" s="8" customFormat="1" x14ac:dyDescent="0.2">
      <c r="E425" s="85"/>
    </row>
    <row r="426" spans="5:5" s="8" customFormat="1" x14ac:dyDescent="0.2">
      <c r="E426" s="85"/>
    </row>
    <row r="427" spans="5:5" s="8" customFormat="1" x14ac:dyDescent="0.2">
      <c r="E427" s="85"/>
    </row>
    <row r="428" spans="5:5" s="8" customFormat="1" x14ac:dyDescent="0.2">
      <c r="E428" s="85"/>
    </row>
    <row r="429" spans="5:5" s="8" customFormat="1" x14ac:dyDescent="0.2">
      <c r="E429" s="85"/>
    </row>
    <row r="430" spans="5:5" s="8" customFormat="1" x14ac:dyDescent="0.2">
      <c r="E430" s="85"/>
    </row>
    <row r="431" spans="5:5" s="8" customFormat="1" x14ac:dyDescent="0.2">
      <c r="E431" s="85"/>
    </row>
    <row r="432" spans="5:5" s="8" customFormat="1" x14ac:dyDescent="0.2">
      <c r="E432" s="85"/>
    </row>
    <row r="433" spans="5:5" s="8" customFormat="1" x14ac:dyDescent="0.2">
      <c r="E433" s="85"/>
    </row>
    <row r="434" spans="5:5" s="8" customFormat="1" x14ac:dyDescent="0.2">
      <c r="E434" s="85"/>
    </row>
    <row r="435" spans="5:5" s="8" customFormat="1" x14ac:dyDescent="0.2">
      <c r="E435" s="85"/>
    </row>
    <row r="436" spans="5:5" s="8" customFormat="1" x14ac:dyDescent="0.2">
      <c r="E436" s="85"/>
    </row>
    <row r="437" spans="5:5" s="8" customFormat="1" x14ac:dyDescent="0.2">
      <c r="E437" s="85"/>
    </row>
    <row r="438" spans="5:5" s="8" customFormat="1" x14ac:dyDescent="0.2">
      <c r="E438" s="85"/>
    </row>
    <row r="439" spans="5:5" s="8" customFormat="1" x14ac:dyDescent="0.2">
      <c r="E439" s="85"/>
    </row>
    <row r="440" spans="5:5" s="8" customFormat="1" x14ac:dyDescent="0.2">
      <c r="E440" s="85"/>
    </row>
    <row r="441" spans="5:5" s="8" customFormat="1" x14ac:dyDescent="0.2">
      <c r="E441" s="85"/>
    </row>
    <row r="442" spans="5:5" s="8" customFormat="1" x14ac:dyDescent="0.2">
      <c r="E442" s="85"/>
    </row>
    <row r="443" spans="5:5" s="8" customFormat="1" x14ac:dyDescent="0.2">
      <c r="E443" s="85"/>
    </row>
    <row r="444" spans="5:5" s="8" customFormat="1" x14ac:dyDescent="0.2">
      <c r="E444" s="85"/>
    </row>
    <row r="445" spans="5:5" s="8" customFormat="1" x14ac:dyDescent="0.2">
      <c r="E445" s="85"/>
    </row>
    <row r="446" spans="5:5" s="8" customFormat="1" x14ac:dyDescent="0.2">
      <c r="E446" s="85"/>
    </row>
    <row r="447" spans="5:5" s="8" customFormat="1" x14ac:dyDescent="0.2">
      <c r="E447" s="85"/>
    </row>
    <row r="448" spans="5:5" s="8" customFormat="1" x14ac:dyDescent="0.2">
      <c r="E448" s="85"/>
    </row>
    <row r="449" spans="5:5" s="8" customFormat="1" x14ac:dyDescent="0.2">
      <c r="E449" s="85"/>
    </row>
    <row r="450" spans="5:5" s="8" customFormat="1" x14ac:dyDescent="0.2">
      <c r="E450" s="85"/>
    </row>
    <row r="451" spans="5:5" s="8" customFormat="1" x14ac:dyDescent="0.2">
      <c r="E451" s="85"/>
    </row>
    <row r="452" spans="5:5" s="8" customFormat="1" x14ac:dyDescent="0.2">
      <c r="E452" s="85"/>
    </row>
    <row r="453" spans="5:5" s="8" customFormat="1" x14ac:dyDescent="0.2">
      <c r="E453" s="85"/>
    </row>
    <row r="454" spans="5:5" s="8" customFormat="1" x14ac:dyDescent="0.2">
      <c r="E454" s="85"/>
    </row>
    <row r="455" spans="5:5" s="8" customFormat="1" x14ac:dyDescent="0.2">
      <c r="E455" s="85"/>
    </row>
    <row r="456" spans="5:5" s="8" customFormat="1" x14ac:dyDescent="0.2">
      <c r="E456" s="85"/>
    </row>
    <row r="457" spans="5:5" s="8" customFormat="1" x14ac:dyDescent="0.2">
      <c r="E457" s="85"/>
    </row>
    <row r="458" spans="5:5" s="8" customFormat="1" x14ac:dyDescent="0.2">
      <c r="E458" s="85"/>
    </row>
    <row r="459" spans="5:5" s="8" customFormat="1" x14ac:dyDescent="0.2">
      <c r="E459" s="85"/>
    </row>
    <row r="460" spans="5:5" s="8" customFormat="1" x14ac:dyDescent="0.2">
      <c r="E460" s="85"/>
    </row>
    <row r="461" spans="5:5" s="8" customFormat="1" x14ac:dyDescent="0.2">
      <c r="E461" s="85"/>
    </row>
    <row r="462" spans="5:5" s="8" customFormat="1" x14ac:dyDescent="0.2">
      <c r="E462" s="85"/>
    </row>
    <row r="463" spans="5:5" s="8" customFormat="1" x14ac:dyDescent="0.2">
      <c r="E463" s="85"/>
    </row>
    <row r="464" spans="5:5" s="8" customFormat="1" x14ac:dyDescent="0.2">
      <c r="E464" s="85"/>
    </row>
    <row r="465" spans="5:5" s="8" customFormat="1" x14ac:dyDescent="0.2">
      <c r="E465" s="85"/>
    </row>
    <row r="466" spans="5:5" s="8" customFormat="1" x14ac:dyDescent="0.2">
      <c r="E466" s="85"/>
    </row>
    <row r="467" spans="5:5" s="8" customFormat="1" x14ac:dyDescent="0.2">
      <c r="E467" s="85"/>
    </row>
    <row r="468" spans="5:5" s="8" customFormat="1" x14ac:dyDescent="0.2">
      <c r="E468" s="85"/>
    </row>
    <row r="469" spans="5:5" s="8" customFormat="1" x14ac:dyDescent="0.2">
      <c r="E469" s="85"/>
    </row>
    <row r="470" spans="5:5" s="8" customFormat="1" x14ac:dyDescent="0.2">
      <c r="E470" s="85"/>
    </row>
    <row r="471" spans="5:5" s="8" customFormat="1" x14ac:dyDescent="0.2">
      <c r="E471" s="85"/>
    </row>
    <row r="472" spans="5:5" s="8" customFormat="1" x14ac:dyDescent="0.2">
      <c r="E472" s="85"/>
    </row>
    <row r="473" spans="5:5" s="8" customFormat="1" x14ac:dyDescent="0.2">
      <c r="E473" s="85"/>
    </row>
    <row r="474" spans="5:5" s="8" customFormat="1" x14ac:dyDescent="0.2">
      <c r="E474" s="85"/>
    </row>
    <row r="475" spans="5:5" s="8" customFormat="1" x14ac:dyDescent="0.2">
      <c r="E475" s="85"/>
    </row>
    <row r="476" spans="5:5" s="8" customFormat="1" x14ac:dyDescent="0.2">
      <c r="E476" s="85"/>
    </row>
    <row r="477" spans="5:5" s="8" customFormat="1" x14ac:dyDescent="0.2">
      <c r="E477" s="85"/>
    </row>
    <row r="478" spans="5:5" s="8" customFormat="1" x14ac:dyDescent="0.2">
      <c r="E478" s="85"/>
    </row>
    <row r="479" spans="5:5" s="8" customFormat="1" x14ac:dyDescent="0.2">
      <c r="E479" s="85"/>
    </row>
    <row r="480" spans="5:5" s="8" customFormat="1" x14ac:dyDescent="0.2">
      <c r="E480" s="85"/>
    </row>
    <row r="481" spans="5:5" s="8" customFormat="1" x14ac:dyDescent="0.2">
      <c r="E481" s="85"/>
    </row>
    <row r="482" spans="5:5" s="8" customFormat="1" x14ac:dyDescent="0.2">
      <c r="E482" s="85"/>
    </row>
    <row r="483" spans="5:5" s="8" customFormat="1" x14ac:dyDescent="0.2">
      <c r="E483" s="85"/>
    </row>
    <row r="484" spans="5:5" s="8" customFormat="1" x14ac:dyDescent="0.2">
      <c r="E484" s="85"/>
    </row>
    <row r="485" spans="5:5" s="8" customFormat="1" x14ac:dyDescent="0.2">
      <c r="E485" s="85"/>
    </row>
    <row r="486" spans="5:5" s="8" customFormat="1" x14ac:dyDescent="0.2">
      <c r="E486" s="85"/>
    </row>
    <row r="487" spans="5:5" s="8" customFormat="1" x14ac:dyDescent="0.2">
      <c r="E487" s="85"/>
    </row>
    <row r="488" spans="5:5" s="8" customFormat="1" x14ac:dyDescent="0.2">
      <c r="E488" s="85"/>
    </row>
    <row r="489" spans="5:5" s="8" customFormat="1" x14ac:dyDescent="0.2">
      <c r="E489" s="85"/>
    </row>
    <row r="490" spans="5:5" s="8" customFormat="1" x14ac:dyDescent="0.2">
      <c r="E490" s="85"/>
    </row>
    <row r="491" spans="5:5" s="8" customFormat="1" x14ac:dyDescent="0.2">
      <c r="E491" s="85"/>
    </row>
    <row r="492" spans="5:5" s="8" customFormat="1" x14ac:dyDescent="0.2">
      <c r="E492" s="85"/>
    </row>
    <row r="493" spans="5:5" s="8" customFormat="1" x14ac:dyDescent="0.2">
      <c r="E493" s="85"/>
    </row>
    <row r="494" spans="5:5" s="8" customFormat="1" x14ac:dyDescent="0.2">
      <c r="E494" s="85"/>
    </row>
    <row r="495" spans="5:5" s="8" customFormat="1" x14ac:dyDescent="0.2">
      <c r="E495" s="85"/>
    </row>
    <row r="496" spans="5:5" s="8" customFormat="1" x14ac:dyDescent="0.2">
      <c r="E496" s="85"/>
    </row>
    <row r="497" spans="5:5" s="8" customFormat="1" x14ac:dyDescent="0.2">
      <c r="E497" s="85"/>
    </row>
    <row r="498" spans="5:5" s="8" customFormat="1" x14ac:dyDescent="0.2">
      <c r="E498" s="85"/>
    </row>
    <row r="499" spans="5:5" s="8" customFormat="1" x14ac:dyDescent="0.2">
      <c r="E499" s="85"/>
    </row>
    <row r="500" spans="5:5" s="8" customFormat="1" x14ac:dyDescent="0.2">
      <c r="E500" s="85"/>
    </row>
    <row r="501" spans="5:5" s="8" customFormat="1" x14ac:dyDescent="0.2">
      <c r="E501" s="85"/>
    </row>
    <row r="502" spans="5:5" s="8" customFormat="1" x14ac:dyDescent="0.2">
      <c r="E502" s="85"/>
    </row>
    <row r="503" spans="5:5" s="8" customFormat="1" x14ac:dyDescent="0.2">
      <c r="E503" s="85"/>
    </row>
    <row r="504" spans="5:5" s="8" customFormat="1" x14ac:dyDescent="0.2">
      <c r="E504" s="85"/>
    </row>
    <row r="505" spans="5:5" s="8" customFormat="1" x14ac:dyDescent="0.2">
      <c r="E505" s="85"/>
    </row>
    <row r="506" spans="5:5" s="8" customFormat="1" x14ac:dyDescent="0.2">
      <c r="E506" s="85"/>
    </row>
    <row r="507" spans="5:5" s="8" customFormat="1" x14ac:dyDescent="0.2">
      <c r="E507" s="85"/>
    </row>
    <row r="508" spans="5:5" s="8" customFormat="1" x14ac:dyDescent="0.2">
      <c r="E508" s="85"/>
    </row>
    <row r="509" spans="5:5" s="8" customFormat="1" x14ac:dyDescent="0.2">
      <c r="E509" s="85"/>
    </row>
    <row r="510" spans="5:5" s="8" customFormat="1" x14ac:dyDescent="0.2">
      <c r="E510" s="85"/>
    </row>
    <row r="511" spans="5:5" s="8" customFormat="1" x14ac:dyDescent="0.2">
      <c r="E511" s="85"/>
    </row>
    <row r="512" spans="5:5" s="8" customFormat="1" x14ac:dyDescent="0.2">
      <c r="E512" s="85"/>
    </row>
    <row r="513" spans="5:5" s="8" customFormat="1" x14ac:dyDescent="0.2">
      <c r="E513" s="85"/>
    </row>
    <row r="514" spans="5:5" s="8" customFormat="1" x14ac:dyDescent="0.2">
      <c r="E514" s="85"/>
    </row>
    <row r="515" spans="5:5" s="8" customFormat="1" x14ac:dyDescent="0.2">
      <c r="E515" s="85"/>
    </row>
    <row r="516" spans="5:5" s="8" customFormat="1" x14ac:dyDescent="0.2">
      <c r="E516" s="85"/>
    </row>
    <row r="517" spans="5:5" s="8" customFormat="1" x14ac:dyDescent="0.2">
      <c r="E517" s="85"/>
    </row>
    <row r="518" spans="5:5" s="8" customFormat="1" x14ac:dyDescent="0.2">
      <c r="E518" s="85"/>
    </row>
    <row r="519" spans="5:5" s="8" customFormat="1" x14ac:dyDescent="0.2">
      <c r="E519" s="85"/>
    </row>
    <row r="520" spans="5:5" s="8" customFormat="1" x14ac:dyDescent="0.2">
      <c r="E520" s="85"/>
    </row>
    <row r="521" spans="5:5" s="8" customFormat="1" x14ac:dyDescent="0.2">
      <c r="E521" s="85"/>
    </row>
    <row r="522" spans="5:5" s="8" customFormat="1" x14ac:dyDescent="0.2">
      <c r="E522" s="85"/>
    </row>
    <row r="523" spans="5:5" s="8" customFormat="1" x14ac:dyDescent="0.2">
      <c r="E523" s="85"/>
    </row>
    <row r="524" spans="5:5" s="8" customFormat="1" x14ac:dyDescent="0.2">
      <c r="E524" s="85"/>
    </row>
    <row r="525" spans="5:5" s="8" customFormat="1" x14ac:dyDescent="0.2">
      <c r="E525" s="85"/>
    </row>
    <row r="526" spans="5:5" s="8" customFormat="1" x14ac:dyDescent="0.2">
      <c r="E526" s="85"/>
    </row>
    <row r="527" spans="5:5" s="8" customFormat="1" x14ac:dyDescent="0.2">
      <c r="E527" s="85"/>
    </row>
    <row r="528" spans="5:5" s="8" customFormat="1" x14ac:dyDescent="0.2">
      <c r="E528" s="85"/>
    </row>
    <row r="529" spans="5:5" s="8" customFormat="1" x14ac:dyDescent="0.2">
      <c r="E529" s="85"/>
    </row>
    <row r="530" spans="5:5" s="8" customFormat="1" x14ac:dyDescent="0.2">
      <c r="E530" s="85"/>
    </row>
    <row r="531" spans="5:5" s="8" customFormat="1" x14ac:dyDescent="0.2">
      <c r="E531" s="85"/>
    </row>
    <row r="532" spans="5:5" s="8" customFormat="1" x14ac:dyDescent="0.2">
      <c r="E532" s="85"/>
    </row>
    <row r="533" spans="5:5" s="8" customFormat="1" x14ac:dyDescent="0.2">
      <c r="E533" s="85"/>
    </row>
    <row r="534" spans="5:5" s="8" customFormat="1" x14ac:dyDescent="0.2">
      <c r="E534" s="85"/>
    </row>
    <row r="535" spans="5:5" s="8" customFormat="1" x14ac:dyDescent="0.2">
      <c r="E535" s="85"/>
    </row>
    <row r="536" spans="5:5" s="8" customFormat="1" x14ac:dyDescent="0.2">
      <c r="E536" s="85"/>
    </row>
    <row r="537" spans="5:5" s="8" customFormat="1" x14ac:dyDescent="0.2">
      <c r="E537" s="85"/>
    </row>
    <row r="538" spans="5:5" s="8" customFormat="1" x14ac:dyDescent="0.2">
      <c r="E538" s="85"/>
    </row>
    <row r="539" spans="5:5" s="8" customFormat="1" x14ac:dyDescent="0.2">
      <c r="E539" s="85"/>
    </row>
    <row r="540" spans="5:5" s="8" customFormat="1" x14ac:dyDescent="0.2">
      <c r="E540" s="85"/>
    </row>
    <row r="541" spans="5:5" s="8" customFormat="1" x14ac:dyDescent="0.2">
      <c r="E541" s="85"/>
    </row>
    <row r="542" spans="5:5" s="8" customFormat="1" x14ac:dyDescent="0.2">
      <c r="E542" s="85"/>
    </row>
    <row r="543" spans="5:5" s="8" customFormat="1" x14ac:dyDescent="0.2">
      <c r="E543" s="85"/>
    </row>
    <row r="544" spans="5:5" s="8" customFormat="1" x14ac:dyDescent="0.2">
      <c r="E544" s="85"/>
    </row>
    <row r="545" spans="5:5" s="8" customFormat="1" x14ac:dyDescent="0.2">
      <c r="E545" s="85"/>
    </row>
    <row r="546" spans="5:5" s="8" customFormat="1" x14ac:dyDescent="0.2">
      <c r="E546" s="85"/>
    </row>
    <row r="547" spans="5:5" s="8" customFormat="1" x14ac:dyDescent="0.2">
      <c r="E547" s="85"/>
    </row>
    <row r="548" spans="5:5" s="8" customFormat="1" x14ac:dyDescent="0.2">
      <c r="E548" s="85"/>
    </row>
    <row r="549" spans="5:5" s="8" customFormat="1" x14ac:dyDescent="0.2">
      <c r="E549" s="85"/>
    </row>
    <row r="550" spans="5:5" s="8" customFormat="1" x14ac:dyDescent="0.2">
      <c r="E550" s="85"/>
    </row>
    <row r="551" spans="5:5" s="8" customFormat="1" x14ac:dyDescent="0.2">
      <c r="E551" s="85"/>
    </row>
    <row r="552" spans="5:5" s="8" customFormat="1" x14ac:dyDescent="0.2">
      <c r="E552" s="85"/>
    </row>
    <row r="553" spans="5:5" s="8" customFormat="1" x14ac:dyDescent="0.2">
      <c r="E553" s="85"/>
    </row>
    <row r="554" spans="5:5" s="8" customFormat="1" x14ac:dyDescent="0.2">
      <c r="E554" s="85"/>
    </row>
    <row r="555" spans="5:5" s="8" customFormat="1" x14ac:dyDescent="0.2">
      <c r="E555" s="85"/>
    </row>
    <row r="556" spans="5:5" s="8" customFormat="1" x14ac:dyDescent="0.2">
      <c r="E556" s="85"/>
    </row>
    <row r="557" spans="5:5" s="8" customFormat="1" x14ac:dyDescent="0.2">
      <c r="E557" s="85"/>
    </row>
    <row r="558" spans="5:5" s="8" customFormat="1" x14ac:dyDescent="0.2">
      <c r="E558" s="85"/>
    </row>
    <row r="559" spans="5:5" s="8" customFormat="1" x14ac:dyDescent="0.2">
      <c r="E559" s="85"/>
    </row>
    <row r="560" spans="5:5" s="8" customFormat="1" x14ac:dyDescent="0.2">
      <c r="E560" s="85"/>
    </row>
    <row r="561" spans="5:5" s="8" customFormat="1" x14ac:dyDescent="0.2">
      <c r="E561" s="85"/>
    </row>
    <row r="562" spans="5:5" s="8" customFormat="1" x14ac:dyDescent="0.2">
      <c r="E562" s="85"/>
    </row>
    <row r="563" spans="5:5" s="8" customFormat="1" x14ac:dyDescent="0.2">
      <c r="E563" s="85"/>
    </row>
    <row r="564" spans="5:5" s="8" customFormat="1" x14ac:dyDescent="0.2">
      <c r="E564" s="85"/>
    </row>
    <row r="565" spans="5:5" s="8" customFormat="1" x14ac:dyDescent="0.2">
      <c r="E565" s="85"/>
    </row>
    <row r="566" spans="5:5" s="8" customFormat="1" x14ac:dyDescent="0.2">
      <c r="E566" s="85"/>
    </row>
    <row r="567" spans="5:5" s="8" customFormat="1" x14ac:dyDescent="0.2">
      <c r="E567" s="85"/>
    </row>
    <row r="568" spans="5:5" s="8" customFormat="1" x14ac:dyDescent="0.2">
      <c r="E568" s="85"/>
    </row>
    <row r="569" spans="5:5" s="8" customFormat="1" x14ac:dyDescent="0.2">
      <c r="E569" s="85"/>
    </row>
    <row r="570" spans="5:5" s="8" customFormat="1" x14ac:dyDescent="0.2">
      <c r="E570" s="85"/>
    </row>
    <row r="571" spans="5:5" s="8" customFormat="1" x14ac:dyDescent="0.2">
      <c r="E571" s="85"/>
    </row>
    <row r="572" spans="5:5" s="8" customFormat="1" x14ac:dyDescent="0.2">
      <c r="E572" s="85"/>
    </row>
    <row r="573" spans="5:5" s="8" customFormat="1" x14ac:dyDescent="0.2">
      <c r="E573" s="85"/>
    </row>
    <row r="574" spans="5:5" s="8" customFormat="1" x14ac:dyDescent="0.2">
      <c r="E574" s="85"/>
    </row>
    <row r="575" spans="5:5" s="8" customFormat="1" x14ac:dyDescent="0.2">
      <c r="E575" s="85"/>
    </row>
    <row r="576" spans="5:5" s="8" customFormat="1" x14ac:dyDescent="0.2">
      <c r="E576" s="85"/>
    </row>
    <row r="577" spans="5:5" s="8" customFormat="1" x14ac:dyDescent="0.2">
      <c r="E577" s="85"/>
    </row>
    <row r="578" spans="5:5" s="8" customFormat="1" x14ac:dyDescent="0.2">
      <c r="E578" s="85"/>
    </row>
    <row r="579" spans="5:5" s="8" customFormat="1" x14ac:dyDescent="0.2">
      <c r="E579" s="85"/>
    </row>
    <row r="580" spans="5:5" s="8" customFormat="1" x14ac:dyDescent="0.2">
      <c r="E580" s="85"/>
    </row>
    <row r="581" spans="5:5" s="8" customFormat="1" x14ac:dyDescent="0.2">
      <c r="E581" s="85"/>
    </row>
    <row r="582" spans="5:5" s="8" customFormat="1" x14ac:dyDescent="0.2">
      <c r="E582" s="85"/>
    </row>
    <row r="583" spans="5:5" s="8" customFormat="1" x14ac:dyDescent="0.2">
      <c r="E583" s="85"/>
    </row>
    <row r="584" spans="5:5" s="8" customFormat="1" x14ac:dyDescent="0.2">
      <c r="E584" s="85"/>
    </row>
    <row r="585" spans="5:5" s="8" customFormat="1" x14ac:dyDescent="0.2">
      <c r="E585" s="85"/>
    </row>
    <row r="586" spans="5:5" s="8" customFormat="1" x14ac:dyDescent="0.2">
      <c r="E586" s="85"/>
    </row>
    <row r="587" spans="5:5" s="8" customFormat="1" x14ac:dyDescent="0.2">
      <c r="E587" s="85"/>
    </row>
    <row r="588" spans="5:5" s="8" customFormat="1" x14ac:dyDescent="0.2">
      <c r="E588" s="85"/>
    </row>
    <row r="589" spans="5:5" s="8" customFormat="1" x14ac:dyDescent="0.2">
      <c r="E589" s="85"/>
    </row>
    <row r="590" spans="5:5" s="8" customFormat="1" x14ac:dyDescent="0.2">
      <c r="E590" s="85"/>
    </row>
    <row r="591" spans="5:5" s="8" customFormat="1" x14ac:dyDescent="0.2">
      <c r="E591" s="85"/>
    </row>
    <row r="592" spans="5:5" s="8" customFormat="1" x14ac:dyDescent="0.2">
      <c r="E592" s="85"/>
    </row>
    <row r="593" spans="5:5" s="8" customFormat="1" x14ac:dyDescent="0.2">
      <c r="E593" s="85"/>
    </row>
    <row r="594" spans="5:5" s="8" customFormat="1" x14ac:dyDescent="0.2">
      <c r="E594" s="85"/>
    </row>
    <row r="595" spans="5:5" s="8" customFormat="1" x14ac:dyDescent="0.2">
      <c r="E595" s="85"/>
    </row>
    <row r="596" spans="5:5" s="8" customFormat="1" x14ac:dyDescent="0.2">
      <c r="E596" s="85"/>
    </row>
    <row r="597" spans="5:5" s="8" customFormat="1" x14ac:dyDescent="0.2">
      <c r="E597" s="85"/>
    </row>
    <row r="598" spans="5:5" s="8" customFormat="1" x14ac:dyDescent="0.2">
      <c r="E598" s="85"/>
    </row>
    <row r="599" spans="5:5" s="8" customFormat="1" x14ac:dyDescent="0.2">
      <c r="E599" s="85"/>
    </row>
    <row r="600" spans="5:5" s="8" customFormat="1" x14ac:dyDescent="0.2">
      <c r="E600" s="85"/>
    </row>
    <row r="601" spans="5:5" s="8" customFormat="1" x14ac:dyDescent="0.2">
      <c r="E601" s="85"/>
    </row>
    <row r="602" spans="5:5" s="8" customFormat="1" x14ac:dyDescent="0.2">
      <c r="E602" s="85"/>
    </row>
    <row r="603" spans="5:5" s="8" customFormat="1" x14ac:dyDescent="0.2">
      <c r="E603" s="85"/>
    </row>
    <row r="604" spans="5:5" s="8" customFormat="1" x14ac:dyDescent="0.2">
      <c r="E604" s="85"/>
    </row>
    <row r="605" spans="5:5" s="8" customFormat="1" x14ac:dyDescent="0.2">
      <c r="E605" s="85"/>
    </row>
    <row r="606" spans="5:5" s="8" customFormat="1" x14ac:dyDescent="0.2">
      <c r="E606" s="85"/>
    </row>
    <row r="607" spans="5:5" s="8" customFormat="1" x14ac:dyDescent="0.2">
      <c r="E607" s="85"/>
    </row>
    <row r="608" spans="5:5" s="8" customFormat="1" x14ac:dyDescent="0.2">
      <c r="E608" s="85"/>
    </row>
    <row r="609" spans="5:5" s="8" customFormat="1" x14ac:dyDescent="0.2">
      <c r="E609" s="85"/>
    </row>
    <row r="610" spans="5:5" s="8" customFormat="1" x14ac:dyDescent="0.2">
      <c r="E610" s="85"/>
    </row>
    <row r="611" spans="5:5" s="8" customFormat="1" x14ac:dyDescent="0.2">
      <c r="E611" s="85"/>
    </row>
    <row r="612" spans="5:5" s="8" customFormat="1" x14ac:dyDescent="0.2">
      <c r="E612" s="85"/>
    </row>
    <row r="613" spans="5:5" s="8" customFormat="1" x14ac:dyDescent="0.2">
      <c r="E613" s="85"/>
    </row>
    <row r="614" spans="5:5" s="8" customFormat="1" x14ac:dyDescent="0.2">
      <c r="E614" s="85"/>
    </row>
    <row r="615" spans="5:5" s="8" customFormat="1" x14ac:dyDescent="0.2">
      <c r="E615" s="85"/>
    </row>
    <row r="616" spans="5:5" s="8" customFormat="1" x14ac:dyDescent="0.2">
      <c r="E616" s="85"/>
    </row>
    <row r="617" spans="5:5" s="8" customFormat="1" x14ac:dyDescent="0.2">
      <c r="E617" s="85"/>
    </row>
    <row r="618" spans="5:5" s="8" customFormat="1" x14ac:dyDescent="0.2">
      <c r="E618" s="85"/>
    </row>
    <row r="619" spans="5:5" s="8" customFormat="1" x14ac:dyDescent="0.2">
      <c r="E619" s="85"/>
    </row>
    <row r="620" spans="5:5" s="8" customFormat="1" x14ac:dyDescent="0.2">
      <c r="E620" s="85"/>
    </row>
    <row r="621" spans="5:5" s="8" customFormat="1" x14ac:dyDescent="0.2">
      <c r="E621" s="85"/>
    </row>
    <row r="622" spans="5:5" s="8" customFormat="1" x14ac:dyDescent="0.2">
      <c r="E622" s="85"/>
    </row>
    <row r="623" spans="5:5" s="8" customFormat="1" x14ac:dyDescent="0.2">
      <c r="E623" s="85"/>
    </row>
    <row r="624" spans="5:5" s="8" customFormat="1" x14ac:dyDescent="0.2">
      <c r="E624" s="85"/>
    </row>
    <row r="625" spans="5:5" s="8" customFormat="1" x14ac:dyDescent="0.2">
      <c r="E625" s="85"/>
    </row>
    <row r="626" spans="5:5" s="8" customFormat="1" x14ac:dyDescent="0.2">
      <c r="E626" s="85"/>
    </row>
    <row r="627" spans="5:5" s="8" customFormat="1" x14ac:dyDescent="0.2">
      <c r="E627" s="85"/>
    </row>
    <row r="628" spans="5:5" s="8" customFormat="1" x14ac:dyDescent="0.2">
      <c r="E628" s="85"/>
    </row>
    <row r="629" spans="5:5" s="8" customFormat="1" x14ac:dyDescent="0.2">
      <c r="E629" s="85"/>
    </row>
    <row r="630" spans="5:5" s="8" customFormat="1" x14ac:dyDescent="0.2">
      <c r="E630" s="85"/>
    </row>
    <row r="631" spans="5:5" s="8" customFormat="1" x14ac:dyDescent="0.2">
      <c r="E631" s="85"/>
    </row>
    <row r="632" spans="5:5" s="8" customFormat="1" x14ac:dyDescent="0.2">
      <c r="E632" s="85"/>
    </row>
    <row r="633" spans="5:5" s="8" customFormat="1" x14ac:dyDescent="0.2">
      <c r="E633" s="85"/>
    </row>
    <row r="634" spans="5:5" s="8" customFormat="1" x14ac:dyDescent="0.2">
      <c r="E634" s="85"/>
    </row>
    <row r="635" spans="5:5" s="8" customFormat="1" x14ac:dyDescent="0.2">
      <c r="E635" s="85"/>
    </row>
    <row r="636" spans="5:5" s="8" customFormat="1" x14ac:dyDescent="0.2">
      <c r="E636" s="85"/>
    </row>
    <row r="637" spans="5:5" s="8" customFormat="1" x14ac:dyDescent="0.2">
      <c r="E637" s="85"/>
    </row>
    <row r="638" spans="5:5" s="8" customFormat="1" x14ac:dyDescent="0.2">
      <c r="E638" s="85"/>
    </row>
    <row r="639" spans="5:5" s="8" customFormat="1" x14ac:dyDescent="0.2">
      <c r="E639" s="85"/>
    </row>
    <row r="640" spans="5:5" s="8" customFormat="1" x14ac:dyDescent="0.2">
      <c r="E640" s="85"/>
    </row>
    <row r="641" spans="5:5" s="8" customFormat="1" x14ac:dyDescent="0.2">
      <c r="E641" s="85"/>
    </row>
    <row r="642" spans="5:5" s="8" customFormat="1" x14ac:dyDescent="0.2">
      <c r="E642" s="85"/>
    </row>
    <row r="643" spans="5:5" s="8" customFormat="1" x14ac:dyDescent="0.2">
      <c r="E643" s="85"/>
    </row>
    <row r="644" spans="5:5" s="8" customFormat="1" x14ac:dyDescent="0.2">
      <c r="E644" s="85"/>
    </row>
    <row r="645" spans="5:5" s="8" customFormat="1" x14ac:dyDescent="0.2">
      <c r="E645" s="85"/>
    </row>
    <row r="646" spans="5:5" s="8" customFormat="1" x14ac:dyDescent="0.2">
      <c r="E646" s="85"/>
    </row>
    <row r="647" spans="5:5" s="8" customFormat="1" x14ac:dyDescent="0.2">
      <c r="E647" s="85"/>
    </row>
    <row r="648" spans="5:5" s="8" customFormat="1" x14ac:dyDescent="0.2">
      <c r="E648" s="85"/>
    </row>
    <row r="649" spans="5:5" s="8" customFormat="1" x14ac:dyDescent="0.2">
      <c r="E649" s="85"/>
    </row>
    <row r="650" spans="5:5" s="8" customFormat="1" x14ac:dyDescent="0.2">
      <c r="E650" s="85"/>
    </row>
    <row r="651" spans="5:5" s="8" customFormat="1" x14ac:dyDescent="0.2">
      <c r="E651" s="85"/>
    </row>
    <row r="652" spans="5:5" s="8" customFormat="1" x14ac:dyDescent="0.2">
      <c r="E652" s="85"/>
    </row>
    <row r="653" spans="5:5" s="8" customFormat="1" x14ac:dyDescent="0.2">
      <c r="E653" s="85"/>
    </row>
    <row r="654" spans="5:5" s="8" customFormat="1" x14ac:dyDescent="0.2">
      <c r="E654" s="85"/>
    </row>
    <row r="655" spans="5:5" s="8" customFormat="1" x14ac:dyDescent="0.2">
      <c r="E655" s="85"/>
    </row>
    <row r="656" spans="5:5" s="8" customFormat="1" x14ac:dyDescent="0.2">
      <c r="E656" s="85"/>
    </row>
    <row r="657" spans="5:5" s="8" customFormat="1" x14ac:dyDescent="0.2">
      <c r="E657" s="85"/>
    </row>
    <row r="658" spans="5:5" s="8" customFormat="1" x14ac:dyDescent="0.2">
      <c r="E658" s="85"/>
    </row>
    <row r="659" spans="5:5" s="8" customFormat="1" x14ac:dyDescent="0.2">
      <c r="E659" s="85"/>
    </row>
    <row r="660" spans="5:5" s="8" customFormat="1" x14ac:dyDescent="0.2">
      <c r="E660" s="85"/>
    </row>
    <row r="661" spans="5:5" s="8" customFormat="1" x14ac:dyDescent="0.2">
      <c r="E661" s="85"/>
    </row>
    <row r="662" spans="5:5" s="8" customFormat="1" x14ac:dyDescent="0.2">
      <c r="E662" s="85"/>
    </row>
    <row r="663" spans="5:5" s="8" customFormat="1" x14ac:dyDescent="0.2">
      <c r="E663" s="85"/>
    </row>
    <row r="664" spans="5:5" s="8" customFormat="1" x14ac:dyDescent="0.2">
      <c r="E664" s="85"/>
    </row>
    <row r="665" spans="5:5" s="8" customFormat="1" x14ac:dyDescent="0.2">
      <c r="E665" s="85"/>
    </row>
    <row r="666" spans="5:5" s="8" customFormat="1" x14ac:dyDescent="0.2">
      <c r="E666" s="85"/>
    </row>
    <row r="667" spans="5:5" s="8" customFormat="1" x14ac:dyDescent="0.2">
      <c r="E667" s="85"/>
    </row>
    <row r="668" spans="5:5" s="8" customFormat="1" x14ac:dyDescent="0.2">
      <c r="E668" s="85"/>
    </row>
    <row r="669" spans="5:5" s="8" customFormat="1" x14ac:dyDescent="0.2">
      <c r="E669" s="85"/>
    </row>
    <row r="670" spans="5:5" s="8" customFormat="1" x14ac:dyDescent="0.2">
      <c r="E670" s="85"/>
    </row>
    <row r="671" spans="5:5" s="8" customFormat="1" x14ac:dyDescent="0.2">
      <c r="E671" s="85"/>
    </row>
    <row r="672" spans="5:5" s="8" customFormat="1" x14ac:dyDescent="0.2">
      <c r="E672" s="85"/>
    </row>
    <row r="673" spans="5:5" s="8" customFormat="1" x14ac:dyDescent="0.2">
      <c r="E673" s="85"/>
    </row>
    <row r="674" spans="5:5" s="8" customFormat="1" x14ac:dyDescent="0.2">
      <c r="E674" s="85"/>
    </row>
    <row r="675" spans="5:5" s="8" customFormat="1" x14ac:dyDescent="0.2">
      <c r="E675" s="85"/>
    </row>
    <row r="676" spans="5:5" s="8" customFormat="1" x14ac:dyDescent="0.2">
      <c r="E676" s="85"/>
    </row>
    <row r="677" spans="5:5" s="8" customFormat="1" x14ac:dyDescent="0.2">
      <c r="E677" s="85"/>
    </row>
    <row r="678" spans="5:5" s="8" customFormat="1" x14ac:dyDescent="0.2">
      <c r="E678" s="85"/>
    </row>
    <row r="679" spans="5:5" s="8" customFormat="1" x14ac:dyDescent="0.2">
      <c r="E679" s="85"/>
    </row>
    <row r="680" spans="5:5" s="8" customFormat="1" x14ac:dyDescent="0.2">
      <c r="E680" s="85"/>
    </row>
    <row r="681" spans="5:5" s="8" customFormat="1" x14ac:dyDescent="0.2">
      <c r="E681" s="85"/>
    </row>
    <row r="682" spans="5:5" s="8" customFormat="1" x14ac:dyDescent="0.2">
      <c r="E682" s="85"/>
    </row>
    <row r="683" spans="5:5" s="8" customFormat="1" x14ac:dyDescent="0.2">
      <c r="E683" s="85"/>
    </row>
    <row r="684" spans="5:5" s="8" customFormat="1" x14ac:dyDescent="0.2">
      <c r="E684" s="85"/>
    </row>
    <row r="685" spans="5:5" s="8" customFormat="1" x14ac:dyDescent="0.2">
      <c r="E685" s="85"/>
    </row>
    <row r="686" spans="5:5" s="8" customFormat="1" x14ac:dyDescent="0.2">
      <c r="E686" s="85"/>
    </row>
    <row r="687" spans="5:5" s="8" customFormat="1" x14ac:dyDescent="0.2">
      <c r="E687" s="85"/>
    </row>
    <row r="688" spans="5:5" s="8" customFormat="1" x14ac:dyDescent="0.2">
      <c r="E688" s="85"/>
    </row>
    <row r="689" spans="5:5" s="8" customFormat="1" x14ac:dyDescent="0.2">
      <c r="E689" s="85"/>
    </row>
    <row r="690" spans="5:5" s="8" customFormat="1" x14ac:dyDescent="0.2">
      <c r="E690" s="85"/>
    </row>
    <row r="691" spans="5:5" s="8" customFormat="1" x14ac:dyDescent="0.2">
      <c r="E691" s="85"/>
    </row>
    <row r="692" spans="5:5" s="8" customFormat="1" x14ac:dyDescent="0.2">
      <c r="E692" s="85"/>
    </row>
    <row r="693" spans="5:5" s="8" customFormat="1" x14ac:dyDescent="0.2">
      <c r="E693" s="85"/>
    </row>
    <row r="694" spans="5:5" s="8" customFormat="1" x14ac:dyDescent="0.2">
      <c r="E694" s="85"/>
    </row>
    <row r="695" spans="5:5" s="8" customFormat="1" x14ac:dyDescent="0.2">
      <c r="E695" s="85"/>
    </row>
    <row r="696" spans="5:5" s="8" customFormat="1" x14ac:dyDescent="0.2">
      <c r="E696" s="85"/>
    </row>
    <row r="697" spans="5:5" s="8" customFormat="1" x14ac:dyDescent="0.2">
      <c r="E697" s="85"/>
    </row>
    <row r="698" spans="5:5" s="8" customFormat="1" x14ac:dyDescent="0.2">
      <c r="E698" s="85"/>
    </row>
    <row r="699" spans="5:5" s="8" customFormat="1" x14ac:dyDescent="0.2">
      <c r="E699" s="85"/>
    </row>
    <row r="700" spans="5:5" s="8" customFormat="1" x14ac:dyDescent="0.2">
      <c r="E700" s="85"/>
    </row>
    <row r="701" spans="5:5" s="8" customFormat="1" x14ac:dyDescent="0.2">
      <c r="E701" s="85"/>
    </row>
    <row r="702" spans="5:5" s="8" customFormat="1" x14ac:dyDescent="0.2">
      <c r="E702" s="85"/>
    </row>
    <row r="703" spans="5:5" s="8" customFormat="1" x14ac:dyDescent="0.2">
      <c r="E703" s="85"/>
    </row>
    <row r="704" spans="5:5" s="8" customFormat="1" x14ac:dyDescent="0.2">
      <c r="E704" s="85"/>
    </row>
    <row r="705" spans="5:5" s="8" customFormat="1" x14ac:dyDescent="0.2">
      <c r="E705" s="85"/>
    </row>
    <row r="706" spans="5:5" s="8" customFormat="1" x14ac:dyDescent="0.2">
      <c r="E706" s="85"/>
    </row>
    <row r="707" spans="5:5" s="8" customFormat="1" x14ac:dyDescent="0.2">
      <c r="E707" s="85"/>
    </row>
    <row r="708" spans="5:5" s="8" customFormat="1" x14ac:dyDescent="0.2">
      <c r="E708" s="85"/>
    </row>
    <row r="709" spans="5:5" s="8" customFormat="1" x14ac:dyDescent="0.2">
      <c r="E709" s="85"/>
    </row>
    <row r="710" spans="5:5" s="8" customFormat="1" x14ac:dyDescent="0.2">
      <c r="E710" s="85"/>
    </row>
    <row r="711" spans="5:5" s="8" customFormat="1" x14ac:dyDescent="0.2">
      <c r="E711" s="85"/>
    </row>
    <row r="712" spans="5:5" s="8" customFormat="1" x14ac:dyDescent="0.2">
      <c r="E712" s="85"/>
    </row>
    <row r="713" spans="5:5" s="8" customFormat="1" x14ac:dyDescent="0.2">
      <c r="E713" s="85"/>
    </row>
    <row r="714" spans="5:5" s="8" customFormat="1" x14ac:dyDescent="0.2">
      <c r="E714" s="85"/>
    </row>
    <row r="715" spans="5:5" s="8" customFormat="1" x14ac:dyDescent="0.2">
      <c r="E715" s="85"/>
    </row>
    <row r="716" spans="5:5" s="8" customFormat="1" x14ac:dyDescent="0.2">
      <c r="E716" s="85"/>
    </row>
    <row r="717" spans="5:5" s="8" customFormat="1" x14ac:dyDescent="0.2">
      <c r="E717" s="85"/>
    </row>
    <row r="718" spans="5:5" s="8" customFormat="1" x14ac:dyDescent="0.2">
      <c r="E718" s="85"/>
    </row>
    <row r="719" spans="5:5" s="8" customFormat="1" x14ac:dyDescent="0.2">
      <c r="E719" s="85"/>
    </row>
    <row r="720" spans="5:5" s="8" customFormat="1" x14ac:dyDescent="0.2">
      <c r="E720" s="85"/>
    </row>
    <row r="721" spans="5:5" s="8" customFormat="1" x14ac:dyDescent="0.2">
      <c r="E721" s="85"/>
    </row>
    <row r="722" spans="5:5" s="8" customFormat="1" x14ac:dyDescent="0.2">
      <c r="E722" s="85"/>
    </row>
    <row r="723" spans="5:5" s="8" customFormat="1" x14ac:dyDescent="0.2">
      <c r="E723" s="85"/>
    </row>
    <row r="724" spans="5:5" s="8" customFormat="1" x14ac:dyDescent="0.2">
      <c r="E724" s="85"/>
    </row>
    <row r="725" spans="5:5" s="8" customFormat="1" x14ac:dyDescent="0.2">
      <c r="E725" s="85"/>
    </row>
    <row r="726" spans="5:5" s="8" customFormat="1" x14ac:dyDescent="0.2">
      <c r="E726" s="85"/>
    </row>
    <row r="727" spans="5:5" s="8" customFormat="1" x14ac:dyDescent="0.2">
      <c r="E727" s="85"/>
    </row>
    <row r="728" spans="5:5" s="8" customFormat="1" x14ac:dyDescent="0.2">
      <c r="E728" s="85"/>
    </row>
    <row r="729" spans="5:5" s="8" customFormat="1" x14ac:dyDescent="0.2">
      <c r="E729" s="85"/>
    </row>
    <row r="730" spans="5:5" s="8" customFormat="1" x14ac:dyDescent="0.2">
      <c r="E730" s="85"/>
    </row>
    <row r="731" spans="5:5" s="8" customFormat="1" x14ac:dyDescent="0.2">
      <c r="E731" s="85"/>
    </row>
    <row r="732" spans="5:5" s="8" customFormat="1" x14ac:dyDescent="0.2">
      <c r="E732" s="85"/>
    </row>
    <row r="733" spans="5:5" s="8" customFormat="1" x14ac:dyDescent="0.2">
      <c r="E733" s="85"/>
    </row>
    <row r="734" spans="5:5" s="8" customFormat="1" x14ac:dyDescent="0.2">
      <c r="E734" s="85"/>
    </row>
    <row r="735" spans="5:5" s="8" customFormat="1" x14ac:dyDescent="0.2">
      <c r="E735" s="85"/>
    </row>
    <row r="736" spans="5:5" s="8" customFormat="1" x14ac:dyDescent="0.2">
      <c r="E736" s="85"/>
    </row>
    <row r="737" spans="5:5" s="8" customFormat="1" x14ac:dyDescent="0.2">
      <c r="E737" s="85"/>
    </row>
    <row r="738" spans="5:5" s="8" customFormat="1" x14ac:dyDescent="0.2">
      <c r="E738" s="85"/>
    </row>
    <row r="739" spans="5:5" s="8" customFormat="1" x14ac:dyDescent="0.2">
      <c r="E739" s="85"/>
    </row>
    <row r="740" spans="5:5" s="8" customFormat="1" x14ac:dyDescent="0.2">
      <c r="E740" s="85"/>
    </row>
    <row r="741" spans="5:5" s="8" customFormat="1" x14ac:dyDescent="0.2">
      <c r="E741" s="85"/>
    </row>
    <row r="742" spans="5:5" s="8" customFormat="1" x14ac:dyDescent="0.2">
      <c r="E742" s="85"/>
    </row>
    <row r="743" spans="5:5" s="8" customFormat="1" x14ac:dyDescent="0.2">
      <c r="E743" s="85"/>
    </row>
    <row r="744" spans="5:5" s="8" customFormat="1" x14ac:dyDescent="0.2">
      <c r="E744" s="85"/>
    </row>
    <row r="745" spans="5:5" s="8" customFormat="1" x14ac:dyDescent="0.2">
      <c r="E745" s="85"/>
    </row>
    <row r="746" spans="5:5" s="8" customFormat="1" x14ac:dyDescent="0.2">
      <c r="E746" s="85"/>
    </row>
    <row r="747" spans="5:5" s="8" customFormat="1" x14ac:dyDescent="0.2">
      <c r="E747" s="85"/>
    </row>
    <row r="748" spans="5:5" s="8" customFormat="1" x14ac:dyDescent="0.2">
      <c r="E748" s="85"/>
    </row>
    <row r="749" spans="5:5" s="8" customFormat="1" x14ac:dyDescent="0.2">
      <c r="E749" s="85"/>
    </row>
    <row r="750" spans="5:5" s="8" customFormat="1" x14ac:dyDescent="0.2">
      <c r="E750" s="85"/>
    </row>
    <row r="751" spans="5:5" s="8" customFormat="1" x14ac:dyDescent="0.2">
      <c r="E751" s="85"/>
    </row>
    <row r="752" spans="5:5" s="8" customFormat="1" x14ac:dyDescent="0.2">
      <c r="E752" s="85"/>
    </row>
    <row r="753" spans="5:5" s="8" customFormat="1" x14ac:dyDescent="0.2">
      <c r="E753" s="85"/>
    </row>
    <row r="754" spans="5:5" s="8" customFormat="1" x14ac:dyDescent="0.2">
      <c r="E754" s="85"/>
    </row>
    <row r="755" spans="5:5" s="8" customFormat="1" x14ac:dyDescent="0.2">
      <c r="E755" s="85"/>
    </row>
    <row r="756" spans="5:5" s="8" customFormat="1" x14ac:dyDescent="0.2">
      <c r="E756" s="85"/>
    </row>
    <row r="757" spans="5:5" s="8" customFormat="1" x14ac:dyDescent="0.2">
      <c r="E757" s="85"/>
    </row>
    <row r="758" spans="5:5" s="8" customFormat="1" x14ac:dyDescent="0.2">
      <c r="E758" s="85"/>
    </row>
    <row r="759" spans="5:5" s="8" customFormat="1" x14ac:dyDescent="0.2">
      <c r="E759" s="85"/>
    </row>
    <row r="760" spans="5:5" s="8" customFormat="1" x14ac:dyDescent="0.2">
      <c r="E760" s="85"/>
    </row>
    <row r="761" spans="5:5" s="8" customFormat="1" x14ac:dyDescent="0.2">
      <c r="E761" s="85"/>
    </row>
    <row r="762" spans="5:5" s="8" customFormat="1" x14ac:dyDescent="0.2">
      <c r="E762" s="85"/>
    </row>
    <row r="763" spans="5:5" s="8" customFormat="1" x14ac:dyDescent="0.2">
      <c r="E763" s="85"/>
    </row>
    <row r="764" spans="5:5" s="8" customFormat="1" x14ac:dyDescent="0.2">
      <c r="E764" s="85"/>
    </row>
    <row r="765" spans="5:5" s="8" customFormat="1" x14ac:dyDescent="0.2">
      <c r="E765" s="85"/>
    </row>
    <row r="766" spans="5:5" s="8" customFormat="1" x14ac:dyDescent="0.2">
      <c r="E766" s="85"/>
    </row>
    <row r="767" spans="5:5" s="8" customFormat="1" x14ac:dyDescent="0.2">
      <c r="E767" s="85"/>
    </row>
    <row r="768" spans="5:5" s="8" customFormat="1" x14ac:dyDescent="0.2">
      <c r="E768" s="85"/>
    </row>
    <row r="769" spans="5:5" s="8" customFormat="1" x14ac:dyDescent="0.2">
      <c r="E769" s="85"/>
    </row>
    <row r="770" spans="5:5" s="8" customFormat="1" x14ac:dyDescent="0.2">
      <c r="E770" s="85"/>
    </row>
    <row r="771" spans="5:5" s="8" customFormat="1" x14ac:dyDescent="0.2">
      <c r="E771" s="85"/>
    </row>
    <row r="772" spans="5:5" s="8" customFormat="1" x14ac:dyDescent="0.2">
      <c r="E772" s="85"/>
    </row>
    <row r="773" spans="5:5" s="8" customFormat="1" x14ac:dyDescent="0.2">
      <c r="E773" s="85"/>
    </row>
    <row r="774" spans="5:5" s="8" customFormat="1" x14ac:dyDescent="0.2">
      <c r="E774" s="85"/>
    </row>
    <row r="775" spans="5:5" s="8" customFormat="1" x14ac:dyDescent="0.2">
      <c r="E775" s="85"/>
    </row>
    <row r="776" spans="5:5" s="8" customFormat="1" x14ac:dyDescent="0.2">
      <c r="E776" s="85"/>
    </row>
    <row r="777" spans="5:5" s="8" customFormat="1" x14ac:dyDescent="0.2">
      <c r="E777" s="85"/>
    </row>
    <row r="778" spans="5:5" s="8" customFormat="1" x14ac:dyDescent="0.2">
      <c r="E778" s="85"/>
    </row>
    <row r="779" spans="5:5" s="8" customFormat="1" x14ac:dyDescent="0.2">
      <c r="E779" s="85"/>
    </row>
    <row r="780" spans="5:5" s="8" customFormat="1" x14ac:dyDescent="0.2">
      <c r="E780" s="85"/>
    </row>
    <row r="781" spans="5:5" s="8" customFormat="1" x14ac:dyDescent="0.2">
      <c r="E781" s="85"/>
    </row>
    <row r="782" spans="5:5" s="8" customFormat="1" x14ac:dyDescent="0.2">
      <c r="E782" s="85"/>
    </row>
    <row r="783" spans="5:5" s="8" customFormat="1" x14ac:dyDescent="0.2">
      <c r="E783" s="85"/>
    </row>
    <row r="784" spans="5:5" s="8" customFormat="1" x14ac:dyDescent="0.2">
      <c r="E784" s="85"/>
    </row>
    <row r="785" spans="5:5" s="8" customFormat="1" x14ac:dyDescent="0.2">
      <c r="E785" s="85"/>
    </row>
    <row r="786" spans="5:5" s="8" customFormat="1" x14ac:dyDescent="0.2">
      <c r="E786" s="85"/>
    </row>
    <row r="787" spans="5:5" s="8" customFormat="1" x14ac:dyDescent="0.2">
      <c r="E787" s="85"/>
    </row>
    <row r="788" spans="5:5" s="8" customFormat="1" x14ac:dyDescent="0.2">
      <c r="E788" s="85"/>
    </row>
    <row r="789" spans="5:5" s="8" customFormat="1" x14ac:dyDescent="0.2">
      <c r="E789" s="85"/>
    </row>
    <row r="790" spans="5:5" s="8" customFormat="1" x14ac:dyDescent="0.2">
      <c r="E790" s="85"/>
    </row>
    <row r="791" spans="5:5" s="8" customFormat="1" x14ac:dyDescent="0.2">
      <c r="E791" s="85"/>
    </row>
    <row r="792" spans="5:5" s="8" customFormat="1" x14ac:dyDescent="0.2">
      <c r="E792" s="85"/>
    </row>
    <row r="793" spans="5:5" s="8" customFormat="1" x14ac:dyDescent="0.2">
      <c r="E793" s="85"/>
    </row>
    <row r="794" spans="5:5" s="8" customFormat="1" x14ac:dyDescent="0.2">
      <c r="E794" s="85"/>
    </row>
    <row r="795" spans="5:5" s="8" customFormat="1" x14ac:dyDescent="0.2">
      <c r="E795" s="85"/>
    </row>
    <row r="796" spans="5:5" s="8" customFormat="1" x14ac:dyDescent="0.2">
      <c r="E796" s="85"/>
    </row>
    <row r="797" spans="5:5" s="8" customFormat="1" x14ac:dyDescent="0.2">
      <c r="E797" s="85"/>
    </row>
    <row r="798" spans="5:5" s="8" customFormat="1" x14ac:dyDescent="0.2">
      <c r="E798" s="85"/>
    </row>
    <row r="799" spans="5:5" s="8" customFormat="1" x14ac:dyDescent="0.2">
      <c r="E799" s="85"/>
    </row>
    <row r="800" spans="5:5" s="8" customFormat="1" x14ac:dyDescent="0.2">
      <c r="E800" s="85"/>
    </row>
    <row r="801" spans="5:5" s="8" customFormat="1" x14ac:dyDescent="0.2">
      <c r="E801" s="85"/>
    </row>
    <row r="802" spans="5:5" s="8" customFormat="1" x14ac:dyDescent="0.2">
      <c r="E802" s="85"/>
    </row>
    <row r="803" spans="5:5" s="8" customFormat="1" x14ac:dyDescent="0.2">
      <c r="E803" s="85"/>
    </row>
    <row r="804" spans="5:5" s="8" customFormat="1" x14ac:dyDescent="0.2">
      <c r="E804" s="85"/>
    </row>
    <row r="805" spans="5:5" s="8" customFormat="1" x14ac:dyDescent="0.2">
      <c r="E805" s="85"/>
    </row>
    <row r="806" spans="5:5" s="8" customFormat="1" x14ac:dyDescent="0.2">
      <c r="E806" s="85"/>
    </row>
    <row r="807" spans="5:5" s="8" customFormat="1" x14ac:dyDescent="0.2">
      <c r="E807" s="85"/>
    </row>
    <row r="808" spans="5:5" s="8" customFormat="1" x14ac:dyDescent="0.2">
      <c r="E808" s="85"/>
    </row>
    <row r="809" spans="5:5" s="8" customFormat="1" x14ac:dyDescent="0.2">
      <c r="E809" s="85"/>
    </row>
    <row r="810" spans="5:5" s="8" customFormat="1" x14ac:dyDescent="0.2">
      <c r="E810" s="85"/>
    </row>
    <row r="811" spans="5:5" s="8" customFormat="1" x14ac:dyDescent="0.2">
      <c r="E811" s="85"/>
    </row>
    <row r="812" spans="5:5" s="8" customFormat="1" x14ac:dyDescent="0.2">
      <c r="E812" s="85"/>
    </row>
    <row r="813" spans="5:5" s="8" customFormat="1" x14ac:dyDescent="0.2">
      <c r="E813" s="85"/>
    </row>
    <row r="814" spans="5:5" s="8" customFormat="1" x14ac:dyDescent="0.2">
      <c r="E814" s="85"/>
    </row>
    <row r="815" spans="5:5" s="8" customFormat="1" x14ac:dyDescent="0.2">
      <c r="E815" s="85"/>
    </row>
    <row r="816" spans="5:5" s="8" customFormat="1" x14ac:dyDescent="0.2">
      <c r="E816" s="85"/>
    </row>
    <row r="817" spans="5:5" s="8" customFormat="1" x14ac:dyDescent="0.2">
      <c r="E817" s="85"/>
    </row>
    <row r="818" spans="5:5" s="8" customFormat="1" x14ac:dyDescent="0.2">
      <c r="E818" s="85"/>
    </row>
    <row r="819" spans="5:5" s="8" customFormat="1" x14ac:dyDescent="0.2">
      <c r="E819" s="85"/>
    </row>
    <row r="820" spans="5:5" s="8" customFormat="1" x14ac:dyDescent="0.2">
      <c r="E820" s="85"/>
    </row>
    <row r="821" spans="5:5" s="8" customFormat="1" x14ac:dyDescent="0.2">
      <c r="E821" s="85"/>
    </row>
    <row r="822" spans="5:5" s="8" customFormat="1" x14ac:dyDescent="0.2">
      <c r="E822" s="85"/>
    </row>
    <row r="823" spans="5:5" s="8" customFormat="1" x14ac:dyDescent="0.2">
      <c r="E823" s="85"/>
    </row>
    <row r="824" spans="5:5" s="8" customFormat="1" x14ac:dyDescent="0.2">
      <c r="E824" s="85"/>
    </row>
    <row r="825" spans="5:5" s="8" customFormat="1" x14ac:dyDescent="0.2">
      <c r="E825" s="85"/>
    </row>
    <row r="826" spans="5:5" s="8" customFormat="1" x14ac:dyDescent="0.2">
      <c r="E826" s="85"/>
    </row>
    <row r="827" spans="5:5" s="8" customFormat="1" x14ac:dyDescent="0.2">
      <c r="E827" s="85"/>
    </row>
    <row r="828" spans="5:5" s="8" customFormat="1" x14ac:dyDescent="0.2">
      <c r="E828" s="85"/>
    </row>
    <row r="829" spans="5:5" s="8" customFormat="1" x14ac:dyDescent="0.2">
      <c r="E829" s="85"/>
    </row>
    <row r="830" spans="5:5" s="8" customFormat="1" x14ac:dyDescent="0.2">
      <c r="E830" s="85"/>
    </row>
    <row r="831" spans="5:5" s="8" customFormat="1" x14ac:dyDescent="0.2">
      <c r="E831" s="85"/>
    </row>
  </sheetData>
  <sheetProtection algorithmName="SHA-512" hashValue="9htlKwqtIiI/SSb9OGb5ef+ubhEAi8+fhruWxPTIgS5GpL1Hst8r1qC9SgZQbGh2He44S/OTXeEA2qj4c1v/+g==" saltValue="FjU71Y6I4dhFgMSjgu9sQw==" spinCount="100000" sheet="1" objects="1" scenarios="1" formatCells="0" formatColumns="0" formatRows="0"/>
  <mergeCells count="39">
    <mergeCell ref="B21:I21"/>
    <mergeCell ref="B59:C59"/>
    <mergeCell ref="B22:I22"/>
    <mergeCell ref="B30:C30"/>
    <mergeCell ref="B42:C42"/>
    <mergeCell ref="B28:C28"/>
    <mergeCell ref="B40:C40"/>
    <mergeCell ref="B51:I51"/>
    <mergeCell ref="B48:I48"/>
    <mergeCell ref="B53:I53"/>
    <mergeCell ref="B52:K52"/>
    <mergeCell ref="B9:I9"/>
    <mergeCell ref="B10:I10"/>
    <mergeCell ref="B14:I14"/>
    <mergeCell ref="B19:I19"/>
    <mergeCell ref="B20:I20"/>
    <mergeCell ref="B119:D119"/>
    <mergeCell ref="B121:D121"/>
    <mergeCell ref="B89:C89"/>
    <mergeCell ref="B91:C91"/>
    <mergeCell ref="B115:C115"/>
    <mergeCell ref="B93:C93"/>
    <mergeCell ref="B107:C107"/>
    <mergeCell ref="B113:C113"/>
    <mergeCell ref="B105:C105"/>
    <mergeCell ref="B101:C101"/>
    <mergeCell ref="B103:C103"/>
    <mergeCell ref="B109:C109"/>
    <mergeCell ref="B111:C111"/>
    <mergeCell ref="B79:C79"/>
    <mergeCell ref="B61:C61"/>
    <mergeCell ref="B63:C63"/>
    <mergeCell ref="B75:C75"/>
    <mergeCell ref="B77:I77"/>
    <mergeCell ref="B71:C71"/>
    <mergeCell ref="B73:C73"/>
    <mergeCell ref="B64:C64"/>
    <mergeCell ref="B65:C65"/>
    <mergeCell ref="B67:C67"/>
  </mergeCells>
  <dataValidations count="2">
    <dataValidation type="list" allowBlank="1" showInputMessage="1" showErrorMessage="1" sqref="C34">
      <formula1>vapour_pressure</formula1>
    </dataValidation>
    <dataValidation type="list" allowBlank="1" showInputMessage="1" showErrorMessage="1" sqref="C32">
      <formula1>water_solubility</formula1>
    </dataValidation>
  </dataValidations>
  <hyperlinks>
    <hyperlink ref="B9" location="'PT8-dipping_immersion processes'!A__Emission_scenario_for_dipping___immersion___product_application__ESD_Table_4.5__p.49" display="A) Emission scenario for dipping / immersion - product application (ESD Table 4.5, p.49)"/>
    <hyperlink ref="B10" location="'PT8-dipping_immersion processes'!B__Emission_scenario_for_dipping___immersion___storage_of_treated_wood_prior_to_shipping___TIER_1__ESD_Table_4.6__p.50" display="B) Emission scenario for dipping / immersion - storage of treated wood prior to shipping - TIER 1 (ESD Table 4.6, p.50)"/>
    <hyperlink ref="B46" location="'PT8-dipping_immersion processes'!A1" display="Go to the top of the page"/>
    <hyperlink ref="B125" location="'PT8-dipping_immersion processes'!A1" display="Go to the top of the page"/>
    <hyperlink ref="B9:I9" location="'PT8-dipping_immersion processes'!A__Emission_scenario_for_dipping_immersion_product_application" display="A) Emission scenario for dipping / immersion - product application (ESD Table 4.5, p.49)"/>
    <hyperlink ref="B10:I10" location="'PT8-dipping_immersion processes'!B__Emission_scenario_for_dipping_immersion_storage_of_treated_wood_prior_to_shipping" display="B) Emission scenario for dipping / immersion - storage of treated wood prior to shipping (including removal processes in the receiving environmental compartment - soil) (ESD Table 4.6, p.50, Table 3.4, p.27)"/>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80"/>
  <sheetViews>
    <sheetView zoomScale="95" zoomScaleNormal="95" workbookViewId="0"/>
  </sheetViews>
  <sheetFormatPr defaultColWidth="8.75" defaultRowHeight="12.75" x14ac:dyDescent="0.2"/>
  <cols>
    <col min="1" max="1" width="1.625" style="8" customWidth="1"/>
    <col min="2" max="2" width="30.625" style="11" customWidth="1"/>
    <col min="3" max="3" width="35.625" style="166" customWidth="1"/>
    <col min="4" max="4" width="1.625" style="11" customWidth="1"/>
    <col min="5" max="5" width="20.625" style="91" customWidth="1"/>
    <col min="6" max="6" width="15.625" style="11" customWidth="1"/>
    <col min="7" max="8" width="10.625" style="11" customWidth="1"/>
    <col min="9" max="9" width="50.625" style="11" customWidth="1"/>
    <col min="10" max="11" width="15.625" style="8" customWidth="1"/>
    <col min="12" max="60" width="8.75" style="8"/>
    <col min="61" max="16384" width="8.75" style="11"/>
  </cols>
  <sheetData>
    <row r="1" spans="1:60" x14ac:dyDescent="0.2">
      <c r="A1" s="10"/>
      <c r="B1" s="10"/>
      <c r="C1" s="18"/>
      <c r="D1" s="10"/>
      <c r="E1" s="61"/>
      <c r="F1" s="10"/>
      <c r="G1" s="10"/>
      <c r="H1" s="10"/>
      <c r="I1" s="10"/>
      <c r="J1" s="10"/>
      <c r="K1" s="10"/>
      <c r="L1" s="10"/>
    </row>
    <row r="2" spans="1:60" ht="20.25" x14ac:dyDescent="0.2">
      <c r="A2" s="10"/>
      <c r="B2" s="64" t="s">
        <v>35</v>
      </c>
      <c r="C2" s="155"/>
      <c r="D2" s="65"/>
      <c r="E2" s="66"/>
      <c r="F2" s="10"/>
      <c r="G2" s="10"/>
      <c r="H2" s="10"/>
      <c r="I2" s="10"/>
      <c r="J2" s="10"/>
      <c r="K2" s="10"/>
      <c r="L2" s="10"/>
    </row>
    <row r="3" spans="1:60" x14ac:dyDescent="0.2">
      <c r="A3" s="10"/>
      <c r="B3" s="67"/>
      <c r="C3" s="156"/>
      <c r="D3" s="67"/>
      <c r="E3" s="68"/>
      <c r="F3" s="10"/>
      <c r="G3" s="10"/>
      <c r="H3" s="10"/>
      <c r="I3" s="10"/>
      <c r="J3" s="10"/>
      <c r="K3" s="10"/>
      <c r="L3" s="10"/>
    </row>
    <row r="4" spans="1:60" ht="15" x14ac:dyDescent="0.2">
      <c r="A4" s="10"/>
      <c r="B4" s="69"/>
      <c r="C4" s="157"/>
      <c r="D4" s="69"/>
      <c r="E4" s="70"/>
      <c r="F4" s="10"/>
      <c r="G4" s="10"/>
      <c r="H4" s="10"/>
      <c r="I4" s="10"/>
      <c r="J4" s="10"/>
      <c r="K4" s="10"/>
      <c r="L4" s="10"/>
    </row>
    <row r="5" spans="1:60" ht="18" x14ac:dyDescent="0.2">
      <c r="A5" s="10"/>
      <c r="B5" s="368" t="s">
        <v>553</v>
      </c>
      <c r="C5" s="368"/>
      <c r="D5" s="368"/>
      <c r="E5" s="368"/>
      <c r="F5" s="368"/>
      <c r="G5" s="368"/>
      <c r="H5" s="368"/>
      <c r="I5" s="368"/>
      <c r="J5" s="10"/>
      <c r="K5" s="10"/>
      <c r="L5" s="10"/>
    </row>
    <row r="6" spans="1:60" s="75" customFormat="1" ht="13.5" thickBot="1" x14ac:dyDescent="0.25">
      <c r="A6" s="73"/>
      <c r="B6" s="33"/>
      <c r="C6" s="115"/>
      <c r="D6" s="33"/>
      <c r="E6" s="40"/>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s="75" customFormat="1" ht="14.25" x14ac:dyDescent="0.2">
      <c r="A7" s="73"/>
      <c r="B7" s="172" t="s">
        <v>494</v>
      </c>
      <c r="C7" s="183"/>
      <c r="D7" s="173"/>
      <c r="E7" s="174"/>
      <c r="F7" s="175"/>
      <c r="G7" s="175"/>
      <c r="H7" s="175"/>
      <c r="I7" s="1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0" s="75" customFormat="1" x14ac:dyDescent="0.2">
      <c r="A8" s="73"/>
      <c r="B8" s="177"/>
      <c r="C8" s="115"/>
      <c r="D8" s="33"/>
      <c r="E8" s="40"/>
      <c r="F8" s="73"/>
      <c r="G8" s="73"/>
      <c r="H8" s="73"/>
      <c r="I8" s="149"/>
      <c r="J8" s="73"/>
      <c r="K8" s="73"/>
      <c r="L8" s="73"/>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1:60" s="75" customFormat="1" ht="15" x14ac:dyDescent="0.2">
      <c r="A9" s="73"/>
      <c r="B9" s="369" t="s">
        <v>554</v>
      </c>
      <c r="C9" s="370"/>
      <c r="D9" s="370"/>
      <c r="E9" s="370"/>
      <c r="F9" s="370"/>
      <c r="G9" s="370"/>
      <c r="H9" s="370"/>
      <c r="I9" s="371"/>
      <c r="J9" s="73"/>
      <c r="K9" s="73"/>
      <c r="L9" s="73"/>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s="75" customFormat="1" ht="30" customHeight="1" x14ac:dyDescent="0.2">
      <c r="A10" s="73"/>
      <c r="B10" s="369" t="s">
        <v>555</v>
      </c>
      <c r="C10" s="370"/>
      <c r="D10" s="370"/>
      <c r="E10" s="370"/>
      <c r="F10" s="370"/>
      <c r="G10" s="370"/>
      <c r="H10" s="370"/>
      <c r="I10" s="371"/>
      <c r="J10" s="73"/>
      <c r="K10" s="73"/>
      <c r="L10" s="73"/>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60" s="75" customFormat="1" ht="13.5" thickBot="1" x14ac:dyDescent="0.25">
      <c r="A11" s="73"/>
      <c r="B11" s="178"/>
      <c r="C11" s="184"/>
      <c r="D11" s="179"/>
      <c r="E11" s="180"/>
      <c r="F11" s="181"/>
      <c r="G11" s="181"/>
      <c r="H11" s="181"/>
      <c r="I11" s="150"/>
      <c r="J11" s="73"/>
      <c r="K11" s="73"/>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60" s="75" customFormat="1" x14ac:dyDescent="0.2">
      <c r="A12" s="73"/>
      <c r="B12" s="33"/>
      <c r="C12" s="115"/>
      <c r="D12" s="33"/>
      <c r="E12" s="40"/>
      <c r="F12" s="73"/>
      <c r="G12" s="73"/>
      <c r="H12" s="73"/>
      <c r="I12" s="73"/>
      <c r="J12" s="73"/>
      <c r="K12" s="73"/>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60" s="75" customFormat="1" ht="14.25" x14ac:dyDescent="0.2">
      <c r="A13" s="73"/>
      <c r="B13" s="56" t="s">
        <v>493</v>
      </c>
      <c r="C13" s="158"/>
      <c r="D13" s="57"/>
      <c r="E13" s="58"/>
      <c r="F13" s="76"/>
      <c r="G13" s="76"/>
      <c r="H13" s="76"/>
      <c r="I13" s="76"/>
      <c r="J13" s="73"/>
      <c r="K13" s="73"/>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row>
    <row r="14" spans="1:60" s="8" customFormat="1" ht="27" customHeight="1" x14ac:dyDescent="0.2">
      <c r="B14" s="372" t="s">
        <v>301</v>
      </c>
      <c r="C14" s="372"/>
      <c r="D14" s="372"/>
      <c r="E14" s="372"/>
      <c r="F14" s="372"/>
      <c r="G14" s="372"/>
      <c r="H14" s="372"/>
      <c r="I14" s="372"/>
      <c r="J14" s="42"/>
      <c r="K14" s="42"/>
      <c r="L14" s="42"/>
    </row>
    <row r="15" spans="1:60" s="79" customFormat="1" ht="15" x14ac:dyDescent="0.2">
      <c r="A15" s="77"/>
      <c r="B15" s="33"/>
      <c r="C15" s="159"/>
      <c r="D15" s="37"/>
      <c r="E15" s="38"/>
      <c r="F15" s="78"/>
      <c r="G15" s="78"/>
      <c r="H15" s="78"/>
      <c r="I15" s="77"/>
      <c r="J15" s="77"/>
      <c r="K15" s="77"/>
      <c r="L15" s="77"/>
    </row>
    <row r="16" spans="1:60" ht="15" x14ac:dyDescent="0.2">
      <c r="A16" s="10"/>
      <c r="B16" s="201" t="s">
        <v>554</v>
      </c>
      <c r="C16" s="80"/>
      <c r="D16" s="81"/>
      <c r="E16" s="81"/>
      <c r="F16" s="10"/>
      <c r="G16" s="10"/>
      <c r="H16" s="10"/>
      <c r="I16" s="10"/>
      <c r="J16" s="10"/>
      <c r="BG16" s="11"/>
      <c r="BH16" s="11"/>
    </row>
    <row r="17" spans="1:65" ht="15" x14ac:dyDescent="0.2">
      <c r="A17" s="10"/>
      <c r="B17" s="73"/>
      <c r="C17" s="80"/>
      <c r="D17" s="81"/>
      <c r="E17" s="81"/>
      <c r="F17" s="10"/>
      <c r="G17" s="10"/>
      <c r="H17" s="10"/>
      <c r="I17" s="10"/>
      <c r="J17" s="10"/>
      <c r="BG17" s="11"/>
      <c r="BH17" s="11"/>
    </row>
    <row r="18" spans="1:65" x14ac:dyDescent="0.2">
      <c r="A18" s="10"/>
      <c r="B18" s="82" t="s">
        <v>19</v>
      </c>
      <c r="C18" s="160"/>
      <c r="D18" s="82"/>
      <c r="E18" s="77"/>
      <c r="F18" s="77"/>
      <c r="G18" s="77"/>
      <c r="H18" s="77"/>
      <c r="I18" s="83"/>
      <c r="AS18" s="11"/>
      <c r="AT18" s="11"/>
      <c r="AU18" s="11"/>
      <c r="AV18" s="11"/>
      <c r="AW18" s="11"/>
      <c r="AX18" s="11"/>
      <c r="AY18" s="11"/>
      <c r="AZ18" s="11"/>
      <c r="BA18" s="11"/>
      <c r="BB18" s="11"/>
      <c r="BC18" s="11"/>
      <c r="BD18" s="11"/>
      <c r="BE18" s="11"/>
      <c r="BF18" s="11"/>
      <c r="BG18" s="11"/>
      <c r="BH18" s="11"/>
    </row>
    <row r="19" spans="1:65" x14ac:dyDescent="0.2">
      <c r="A19" s="10"/>
      <c r="B19" s="366" t="s">
        <v>143</v>
      </c>
      <c r="C19" s="366"/>
      <c r="D19" s="366"/>
      <c r="E19" s="366"/>
      <c r="F19" s="366"/>
      <c r="G19" s="366"/>
      <c r="H19" s="366"/>
      <c r="I19" s="366"/>
      <c r="AS19" s="11"/>
      <c r="AT19" s="11"/>
      <c r="AU19" s="11"/>
      <c r="AV19" s="11"/>
      <c r="AW19" s="11"/>
      <c r="AX19" s="11"/>
      <c r="AY19" s="11"/>
      <c r="AZ19" s="11"/>
      <c r="BA19" s="11"/>
      <c r="BB19" s="11"/>
      <c r="BC19" s="11"/>
      <c r="BD19" s="11"/>
      <c r="BE19" s="11"/>
      <c r="BF19" s="11"/>
      <c r="BG19" s="11"/>
      <c r="BH19" s="11"/>
    </row>
    <row r="20" spans="1:65" ht="17.25" customHeight="1" x14ac:dyDescent="0.2">
      <c r="A20" s="10"/>
      <c r="B20" s="366" t="s">
        <v>144</v>
      </c>
      <c r="C20" s="366"/>
      <c r="D20" s="366"/>
      <c r="E20" s="366"/>
      <c r="F20" s="366"/>
      <c r="G20" s="366"/>
      <c r="H20" s="366"/>
      <c r="I20" s="366"/>
      <c r="J20" s="10"/>
      <c r="K20" s="10"/>
      <c r="L20" s="10"/>
      <c r="M20" s="10"/>
      <c r="N20" s="10"/>
      <c r="O20" s="10"/>
      <c r="P20" s="10"/>
      <c r="Q20" s="10"/>
      <c r="BI20" s="8"/>
      <c r="BJ20" s="8"/>
      <c r="BK20" s="8"/>
      <c r="BL20" s="8"/>
      <c r="BM20" s="8"/>
    </row>
    <row r="21" spans="1:65" x14ac:dyDescent="0.2">
      <c r="A21" s="10"/>
      <c r="B21" s="366" t="s">
        <v>957</v>
      </c>
      <c r="C21" s="366"/>
      <c r="D21" s="366"/>
      <c r="E21" s="366"/>
      <c r="F21" s="366"/>
      <c r="G21" s="366"/>
      <c r="H21" s="366"/>
      <c r="I21" s="366"/>
      <c r="J21" s="10"/>
      <c r="K21" s="10"/>
      <c r="L21" s="10"/>
      <c r="M21" s="10"/>
      <c r="N21" s="10"/>
      <c r="O21" s="10"/>
      <c r="P21" s="10"/>
      <c r="Q21" s="10"/>
      <c r="BI21" s="8"/>
      <c r="BJ21" s="8"/>
      <c r="BK21" s="8"/>
      <c r="BL21" s="8"/>
      <c r="BM21" s="8"/>
    </row>
    <row r="22" spans="1:65" x14ac:dyDescent="0.2">
      <c r="A22" s="10"/>
      <c r="B22" s="366" t="s">
        <v>111</v>
      </c>
      <c r="C22" s="366"/>
      <c r="D22" s="366"/>
      <c r="E22" s="366"/>
      <c r="F22" s="366"/>
      <c r="G22" s="366"/>
      <c r="H22" s="366"/>
      <c r="I22" s="366"/>
      <c r="J22" s="10"/>
      <c r="K22" s="10"/>
      <c r="L22" s="10"/>
      <c r="M22" s="10"/>
      <c r="N22" s="10"/>
      <c r="O22" s="10"/>
      <c r="P22" s="10"/>
      <c r="Q22" s="10"/>
      <c r="BI22" s="8"/>
      <c r="BJ22" s="8"/>
      <c r="BK22" s="8"/>
      <c r="BL22" s="8"/>
      <c r="BM22" s="8"/>
    </row>
    <row r="23" spans="1:65" x14ac:dyDescent="0.2">
      <c r="A23" s="10"/>
      <c r="B23" s="366" t="s">
        <v>962</v>
      </c>
      <c r="C23" s="366"/>
      <c r="D23" s="366"/>
      <c r="E23" s="366"/>
      <c r="F23" s="366"/>
      <c r="G23" s="366"/>
      <c r="H23" s="366"/>
      <c r="I23" s="366"/>
      <c r="J23" s="10"/>
      <c r="K23" s="10"/>
      <c r="L23" s="10"/>
      <c r="M23" s="10"/>
      <c r="N23" s="10"/>
      <c r="O23" s="10"/>
      <c r="P23" s="10"/>
      <c r="Q23" s="10"/>
      <c r="BI23" s="8"/>
      <c r="BJ23" s="8"/>
      <c r="BK23" s="8"/>
      <c r="BL23" s="8"/>
      <c r="BM23" s="8"/>
    </row>
    <row r="24" spans="1:65" s="8" customFormat="1" ht="3" customHeight="1" x14ac:dyDescent="0.2">
      <c r="A24" s="10"/>
      <c r="C24" s="161"/>
      <c r="D24" s="31"/>
      <c r="E24" s="32"/>
      <c r="F24" s="84"/>
      <c r="G24" s="84"/>
      <c r="H24" s="84"/>
      <c r="I24" s="10"/>
      <c r="J24" s="10"/>
      <c r="K24" s="10"/>
      <c r="L24" s="10"/>
    </row>
    <row r="25" spans="1:65" ht="15" x14ac:dyDescent="0.2">
      <c r="A25" s="10"/>
      <c r="B25" s="4" t="s">
        <v>0</v>
      </c>
      <c r="C25" s="162"/>
      <c r="D25" s="4"/>
      <c r="E25" s="12"/>
      <c r="F25" s="12"/>
      <c r="G25" s="12"/>
      <c r="H25" s="12"/>
      <c r="I25" s="13"/>
      <c r="AS25" s="11"/>
      <c r="AT25" s="11"/>
      <c r="AU25" s="11"/>
      <c r="AV25" s="11"/>
      <c r="AW25" s="11"/>
      <c r="AX25" s="11"/>
      <c r="AY25" s="11"/>
      <c r="AZ25" s="11"/>
      <c r="BA25" s="11"/>
      <c r="BB25" s="11"/>
      <c r="BC25" s="11"/>
      <c r="BD25" s="11"/>
      <c r="BE25" s="11"/>
      <c r="BF25" s="11"/>
      <c r="BG25" s="11"/>
      <c r="BH25" s="11"/>
    </row>
    <row r="26" spans="1:65" x14ac:dyDescent="0.2">
      <c r="A26" s="10"/>
      <c r="B26" s="6"/>
      <c r="C26" s="30"/>
      <c r="D26" s="6"/>
      <c r="E26" s="6"/>
      <c r="F26" s="6"/>
      <c r="G26" s="6"/>
      <c r="H26" s="6"/>
      <c r="I26" s="22"/>
      <c r="AS26" s="11"/>
      <c r="AT26" s="11"/>
      <c r="AU26" s="11"/>
      <c r="AV26" s="11"/>
      <c r="AW26" s="11"/>
      <c r="AX26" s="11"/>
      <c r="AY26" s="11"/>
      <c r="AZ26" s="11"/>
      <c r="BA26" s="11"/>
      <c r="BB26" s="11"/>
      <c r="BC26" s="11"/>
      <c r="BD26" s="11"/>
      <c r="BE26" s="11"/>
      <c r="BF26" s="11"/>
      <c r="BG26" s="11"/>
      <c r="BH26" s="11"/>
    </row>
    <row r="27" spans="1:65" ht="15" x14ac:dyDescent="0.2">
      <c r="A27" s="10"/>
      <c r="B27" s="14" t="s">
        <v>2</v>
      </c>
      <c r="C27" s="163"/>
      <c r="D27" s="14"/>
      <c r="E27" s="15" t="s">
        <v>4</v>
      </c>
      <c r="F27" s="16" t="s">
        <v>7</v>
      </c>
      <c r="G27" s="16" t="s">
        <v>3</v>
      </c>
      <c r="H27" s="16" t="s">
        <v>11</v>
      </c>
      <c r="I27" s="15" t="s">
        <v>34</v>
      </c>
      <c r="AS27" s="11"/>
      <c r="AT27" s="11"/>
      <c r="AU27" s="11"/>
      <c r="AV27" s="11"/>
      <c r="AW27" s="11"/>
      <c r="AX27" s="11"/>
      <c r="AY27" s="11"/>
      <c r="AZ27" s="11"/>
      <c r="BA27" s="11"/>
      <c r="BB27" s="11"/>
      <c r="BC27" s="11"/>
      <c r="BD27" s="11"/>
      <c r="BE27" s="11"/>
      <c r="BF27" s="11"/>
      <c r="BG27" s="11"/>
      <c r="BH27" s="11"/>
    </row>
    <row r="28" spans="1:65" ht="13.5" thickBot="1" x14ac:dyDescent="0.25">
      <c r="A28" s="10"/>
      <c r="B28" s="45"/>
      <c r="C28" s="163"/>
      <c r="D28" s="14"/>
      <c r="E28" s="15"/>
      <c r="F28" s="16"/>
      <c r="G28" s="16"/>
      <c r="H28" s="16"/>
      <c r="I28" s="15"/>
      <c r="AS28" s="11"/>
      <c r="AT28" s="11"/>
      <c r="AU28" s="11"/>
      <c r="AV28" s="11"/>
      <c r="AW28" s="11"/>
      <c r="AX28" s="11"/>
      <c r="AY28" s="11"/>
      <c r="AZ28" s="11"/>
      <c r="BA28" s="11"/>
      <c r="BB28" s="11"/>
      <c r="BC28" s="11"/>
      <c r="BD28" s="11"/>
      <c r="BE28" s="11"/>
      <c r="BF28" s="11"/>
      <c r="BG28" s="11"/>
      <c r="BH28" s="11"/>
    </row>
    <row r="29" spans="1:65" ht="33" customHeight="1" thickTop="1" thickBot="1" x14ac:dyDescent="0.25">
      <c r="A29" s="10"/>
      <c r="B29" s="30" t="s">
        <v>115</v>
      </c>
      <c r="C29" s="313" t="s">
        <v>133</v>
      </c>
      <c r="D29" s="9"/>
      <c r="E29" s="6" t="s">
        <v>116</v>
      </c>
      <c r="F29" s="23" t="str">
        <f>INDEX('Pick-lists &amp; Defaults'!C39:C41,MATCH(C29,LowP_process,0))</f>
        <v>??</v>
      </c>
      <c r="G29" s="7" t="s">
        <v>28</v>
      </c>
      <c r="H29" s="7" t="s">
        <v>20</v>
      </c>
      <c r="I29" s="22" t="s">
        <v>141</v>
      </c>
      <c r="AS29" s="11"/>
      <c r="AT29" s="11"/>
      <c r="AU29" s="11"/>
      <c r="AV29" s="11"/>
      <c r="AW29" s="11"/>
      <c r="AX29" s="11"/>
      <c r="AY29" s="11"/>
      <c r="AZ29" s="11"/>
      <c r="BA29" s="11"/>
      <c r="BB29" s="11"/>
      <c r="BC29" s="11"/>
      <c r="BD29" s="11"/>
      <c r="BE29" s="11"/>
      <c r="BF29" s="11"/>
      <c r="BG29" s="11"/>
      <c r="BH29" s="11"/>
    </row>
    <row r="30" spans="1:65" s="8" customFormat="1" ht="5.0999999999999996" customHeight="1" thickTop="1" x14ac:dyDescent="0.2">
      <c r="B30" s="45"/>
      <c r="C30" s="152"/>
      <c r="D30" s="30"/>
      <c r="E30" s="22"/>
      <c r="F30" s="7"/>
      <c r="G30" s="7"/>
      <c r="H30" s="7"/>
      <c r="I30" s="22"/>
    </row>
    <row r="31" spans="1:65" s="8" customFormat="1" ht="15" x14ac:dyDescent="0.2">
      <c r="B31" s="362" t="s">
        <v>142</v>
      </c>
      <c r="C31" s="362"/>
      <c r="D31" s="30"/>
      <c r="E31" s="22" t="s">
        <v>48</v>
      </c>
      <c r="F31" s="274"/>
      <c r="G31" s="7" t="s">
        <v>118</v>
      </c>
      <c r="H31" s="7" t="s">
        <v>6</v>
      </c>
      <c r="I31" s="169"/>
    </row>
    <row r="32" spans="1:65" s="8" customFormat="1" ht="5.0999999999999996" customHeight="1" thickBot="1" x14ac:dyDescent="0.25">
      <c r="B32" s="45"/>
      <c r="C32" s="152"/>
      <c r="D32" s="45"/>
      <c r="E32" s="30"/>
      <c r="F32" s="7"/>
      <c r="G32" s="7"/>
      <c r="H32" s="7"/>
      <c r="I32" s="34"/>
    </row>
    <row r="33" spans="1:60" s="8" customFormat="1" ht="17.25" thickTop="1" thickBot="1" x14ac:dyDescent="0.25">
      <c r="B33" s="30" t="s">
        <v>954</v>
      </c>
      <c r="C33" s="313" t="s">
        <v>659</v>
      </c>
      <c r="D33" s="30"/>
      <c r="E33" s="22" t="s">
        <v>955</v>
      </c>
      <c r="F33" s="23" t="str">
        <f>INDEX('Pick-lists &amp; Defaults'!C20:C25,MATCH(C33,water_solubility,0))</f>
        <v>??</v>
      </c>
      <c r="G33" s="7" t="s">
        <v>5</v>
      </c>
      <c r="H33" s="7" t="s">
        <v>22</v>
      </c>
      <c r="I33" s="34" t="s">
        <v>141</v>
      </c>
    </row>
    <row r="34" spans="1:60" s="8" customFormat="1" ht="5.0999999999999996" customHeight="1" thickTop="1" thickBot="1" x14ac:dyDescent="0.25">
      <c r="B34" s="45"/>
      <c r="C34" s="152"/>
      <c r="D34" s="45"/>
      <c r="E34" s="30"/>
      <c r="F34" s="22"/>
      <c r="G34" s="7"/>
      <c r="H34" s="7"/>
      <c r="I34" s="7"/>
    </row>
    <row r="35" spans="1:60" s="8" customFormat="1" ht="27" thickTop="1" thickBot="1" x14ac:dyDescent="0.25">
      <c r="B35" s="45" t="s">
        <v>31</v>
      </c>
      <c r="C35" s="313" t="s">
        <v>61</v>
      </c>
      <c r="D35" s="45"/>
      <c r="E35" s="30" t="s">
        <v>33</v>
      </c>
      <c r="F35" s="23" t="str">
        <f>INDEX('Pick-lists &amp; Defaults'!C29:C35,MATCH(C35,vapour_pressure,0))</f>
        <v>??</v>
      </c>
      <c r="G35" s="7" t="s">
        <v>5</v>
      </c>
      <c r="H35" s="7" t="s">
        <v>22</v>
      </c>
      <c r="I35" s="294" t="s">
        <v>740</v>
      </c>
    </row>
    <row r="36" spans="1:60" s="8" customFormat="1" ht="13.5" thickTop="1" x14ac:dyDescent="0.2">
      <c r="B36" s="45"/>
      <c r="C36" s="152"/>
      <c r="D36" s="45"/>
      <c r="E36" s="30"/>
      <c r="F36" s="22"/>
      <c r="G36" s="7"/>
      <c r="H36" s="7"/>
      <c r="I36" s="7"/>
    </row>
    <row r="37" spans="1:60" ht="15" x14ac:dyDescent="0.2">
      <c r="A37" s="10"/>
      <c r="B37" s="4" t="s">
        <v>1</v>
      </c>
      <c r="C37" s="162"/>
      <c r="D37" s="4"/>
      <c r="E37" s="4"/>
      <c r="F37" s="12"/>
      <c r="G37" s="12"/>
      <c r="H37" s="12"/>
      <c r="I37" s="12"/>
      <c r="AT37" s="11"/>
      <c r="AU37" s="11"/>
      <c r="AV37" s="11"/>
      <c r="AW37" s="11"/>
      <c r="AX37" s="11"/>
      <c r="AY37" s="11"/>
      <c r="AZ37" s="11"/>
      <c r="BA37" s="11"/>
      <c r="BB37" s="11"/>
      <c r="BC37" s="11"/>
      <c r="BD37" s="11"/>
      <c r="BE37" s="11"/>
      <c r="BF37" s="11"/>
      <c r="BG37" s="11"/>
      <c r="BH37" s="11"/>
    </row>
    <row r="38" spans="1:60" x14ac:dyDescent="0.2">
      <c r="A38" s="10"/>
      <c r="B38" s="6"/>
      <c r="C38" s="30"/>
      <c r="D38" s="6"/>
      <c r="E38" s="6"/>
      <c r="F38" s="6"/>
      <c r="G38" s="6"/>
      <c r="H38" s="6"/>
      <c r="I38" s="6"/>
      <c r="AT38" s="11"/>
      <c r="AU38" s="11"/>
      <c r="AV38" s="11"/>
      <c r="AW38" s="11"/>
      <c r="AX38" s="11"/>
      <c r="AY38" s="11"/>
      <c r="AZ38" s="11"/>
      <c r="BA38" s="11"/>
      <c r="BB38" s="11"/>
      <c r="BC38" s="11"/>
      <c r="BD38" s="11"/>
      <c r="BE38" s="11"/>
      <c r="BF38" s="11"/>
      <c r="BG38" s="11"/>
      <c r="BH38" s="11"/>
    </row>
    <row r="39" spans="1:60" ht="15" x14ac:dyDescent="0.2">
      <c r="A39" s="10"/>
      <c r="B39" s="14" t="s">
        <v>2</v>
      </c>
      <c r="C39" s="163"/>
      <c r="D39" s="14"/>
      <c r="E39" s="15" t="s">
        <v>4</v>
      </c>
      <c r="F39" s="16" t="s">
        <v>7</v>
      </c>
      <c r="G39" s="16" t="s">
        <v>3</v>
      </c>
      <c r="H39" s="16" t="s">
        <v>11</v>
      </c>
      <c r="I39" s="15" t="s">
        <v>34</v>
      </c>
      <c r="AT39" s="11"/>
      <c r="AU39" s="11"/>
      <c r="AV39" s="11"/>
      <c r="AW39" s="11"/>
      <c r="AX39" s="11"/>
      <c r="AY39" s="11"/>
      <c r="AZ39" s="11"/>
      <c r="BA39" s="11"/>
      <c r="BB39" s="11"/>
      <c r="BC39" s="11"/>
      <c r="BD39" s="11"/>
      <c r="BE39" s="11"/>
      <c r="BF39" s="11"/>
      <c r="BG39" s="11"/>
      <c r="BH39" s="11"/>
    </row>
    <row r="40" spans="1:60" x14ac:dyDescent="0.2">
      <c r="A40" s="10"/>
      <c r="B40" s="17"/>
      <c r="C40" s="164"/>
      <c r="D40" s="17"/>
      <c r="E40" s="17"/>
      <c r="F40" s="17"/>
      <c r="G40" s="17"/>
      <c r="H40" s="17"/>
      <c r="I40" s="22"/>
      <c r="AT40" s="11"/>
      <c r="AU40" s="11"/>
      <c r="AV40" s="11"/>
      <c r="AW40" s="11"/>
      <c r="AX40" s="11"/>
      <c r="AY40" s="11"/>
      <c r="AZ40" s="11"/>
      <c r="BA40" s="11"/>
      <c r="BB40" s="11"/>
      <c r="BC40" s="11"/>
      <c r="BD40" s="11"/>
      <c r="BE40" s="11"/>
      <c r="BF40" s="11"/>
      <c r="BG40" s="11"/>
      <c r="BH40" s="11"/>
    </row>
    <row r="41" spans="1:60" s="8" customFormat="1" ht="15" x14ac:dyDescent="0.2">
      <c r="A41" s="10"/>
      <c r="B41" s="362" t="s">
        <v>951</v>
      </c>
      <c r="C41" s="362"/>
      <c r="D41" s="30"/>
      <c r="E41" s="30" t="s">
        <v>63</v>
      </c>
      <c r="F41" s="228" t="str">
        <f>IF(AND(ISNUMBER(Volume_wood_treated),ISNUMBER(Qai),ISNUMBER(Fair)),Qai*Volume_wood_treated*Fair,"??")</f>
        <v>??</v>
      </c>
      <c r="G41" s="7" t="s">
        <v>21</v>
      </c>
      <c r="H41" s="7" t="s">
        <v>8</v>
      </c>
      <c r="I41" s="20" t="s">
        <v>120</v>
      </c>
    </row>
    <row r="42" spans="1:60" s="8" customFormat="1" ht="5.0999999999999996" customHeight="1" x14ac:dyDescent="0.2">
      <c r="A42" s="10"/>
      <c r="B42" s="45"/>
      <c r="C42" s="152"/>
      <c r="D42" s="45"/>
      <c r="E42" s="30"/>
      <c r="F42" s="30"/>
      <c r="G42" s="7"/>
      <c r="H42" s="7"/>
      <c r="I42" s="20"/>
    </row>
    <row r="43" spans="1:60" s="8" customFormat="1" ht="15" x14ac:dyDescent="0.2">
      <c r="A43" s="10"/>
      <c r="B43" s="362" t="s">
        <v>952</v>
      </c>
      <c r="C43" s="362"/>
      <c r="D43" s="45"/>
      <c r="E43" s="30" t="s">
        <v>953</v>
      </c>
      <c r="F43" s="228" t="str">
        <f>IF(AND(ISNUMBER(Volume_wood_treated),ISNUMBER(Qai),ISNUMBER(Ffacilitydrain)),Qai*Volume_wood_treated*Ffacilitydrain,"??")</f>
        <v>??</v>
      </c>
      <c r="G43" s="7" t="s">
        <v>21</v>
      </c>
      <c r="H43" s="7" t="s">
        <v>8</v>
      </c>
      <c r="I43" s="141" t="s">
        <v>961</v>
      </c>
    </row>
    <row r="44" spans="1:60" s="8" customFormat="1" x14ac:dyDescent="0.2">
      <c r="A44" s="10"/>
      <c r="B44" s="45"/>
      <c r="C44" s="152"/>
      <c r="D44" s="45"/>
      <c r="E44" s="30"/>
      <c r="F44" s="30"/>
      <c r="G44" s="7"/>
      <c r="H44" s="7"/>
      <c r="I44" s="20"/>
    </row>
    <row r="45" spans="1:60" s="8" customFormat="1" x14ac:dyDescent="0.2">
      <c r="B45" s="86" t="s">
        <v>12</v>
      </c>
      <c r="C45" s="165"/>
      <c r="F45" s="87"/>
      <c r="G45" s="88"/>
      <c r="H45" s="74"/>
      <c r="I45" s="85"/>
    </row>
    <row r="46" spans="1:60" s="8" customFormat="1" x14ac:dyDescent="0.2">
      <c r="B46" s="86"/>
      <c r="C46" s="161"/>
      <c r="G46" s="89"/>
      <c r="H46" s="74"/>
      <c r="I46" s="85"/>
    </row>
    <row r="47" spans="1:60" s="8" customFormat="1" x14ac:dyDescent="0.2">
      <c r="B47" s="307" t="s">
        <v>818</v>
      </c>
      <c r="C47" s="161"/>
      <c r="E47" s="85"/>
    </row>
    <row r="48" spans="1:60" s="8" customFormat="1" x14ac:dyDescent="0.2">
      <c r="C48" s="161"/>
      <c r="G48" s="89"/>
      <c r="H48" s="74"/>
      <c r="I48" s="85"/>
    </row>
    <row r="49" spans="1:66" s="8" customFormat="1" ht="35.25" customHeight="1" x14ac:dyDescent="0.2">
      <c r="B49" s="367" t="s">
        <v>555</v>
      </c>
      <c r="C49" s="367"/>
      <c r="D49" s="367"/>
      <c r="E49" s="367"/>
      <c r="F49" s="367"/>
      <c r="G49" s="367"/>
      <c r="H49" s="367"/>
      <c r="I49" s="367"/>
    </row>
    <row r="50" spans="1:66" s="8" customFormat="1" ht="15" x14ac:dyDescent="0.2">
      <c r="B50" s="90"/>
      <c r="C50" s="80"/>
      <c r="G50" s="89"/>
      <c r="H50" s="74"/>
      <c r="I50" s="85"/>
    </row>
    <row r="51" spans="1:66" x14ac:dyDescent="0.2">
      <c r="A51" s="10"/>
      <c r="B51" s="82" t="s">
        <v>19</v>
      </c>
      <c r="C51" s="160"/>
      <c r="D51" s="82"/>
      <c r="E51" s="77"/>
      <c r="F51" s="77"/>
      <c r="G51" s="77"/>
      <c r="H51" s="77"/>
      <c r="I51" s="83"/>
      <c r="AS51" s="11"/>
      <c r="AT51" s="11"/>
      <c r="AU51" s="11"/>
      <c r="AV51" s="11"/>
      <c r="AW51" s="11"/>
      <c r="AX51" s="11"/>
      <c r="AY51" s="11"/>
      <c r="AZ51" s="11"/>
      <c r="BA51" s="11"/>
      <c r="BB51" s="11"/>
      <c r="BC51" s="11"/>
      <c r="BD51" s="11"/>
      <c r="BE51" s="11"/>
      <c r="BF51" s="11"/>
      <c r="BG51" s="11"/>
      <c r="BH51" s="11"/>
    </row>
    <row r="52" spans="1:66" x14ac:dyDescent="0.2">
      <c r="A52" s="10"/>
      <c r="B52" s="366" t="s">
        <v>113</v>
      </c>
      <c r="C52" s="366"/>
      <c r="D52" s="366"/>
      <c r="E52" s="366"/>
      <c r="F52" s="366"/>
      <c r="G52" s="366"/>
      <c r="H52" s="366"/>
      <c r="I52" s="366"/>
      <c r="AS52" s="11"/>
      <c r="AT52" s="11"/>
      <c r="AU52" s="11"/>
      <c r="AV52" s="11"/>
      <c r="AW52" s="11"/>
      <c r="AX52" s="11"/>
      <c r="AY52" s="11"/>
      <c r="AZ52" s="11"/>
      <c r="BA52" s="11"/>
      <c r="BB52" s="11"/>
      <c r="BC52" s="11"/>
      <c r="BD52" s="11"/>
      <c r="BE52" s="11"/>
      <c r="BF52" s="11"/>
      <c r="BG52" s="11"/>
      <c r="BH52" s="11"/>
    </row>
    <row r="53" spans="1:66" x14ac:dyDescent="0.2">
      <c r="A53" s="10"/>
      <c r="B53" s="366" t="s">
        <v>531</v>
      </c>
      <c r="C53" s="366"/>
      <c r="D53" s="366"/>
      <c r="E53" s="366"/>
      <c r="F53" s="366"/>
      <c r="G53" s="366"/>
      <c r="H53" s="366"/>
      <c r="I53" s="366"/>
      <c r="AS53" s="11"/>
      <c r="AT53" s="11"/>
      <c r="AU53" s="11"/>
      <c r="AV53" s="11"/>
      <c r="AW53" s="11"/>
      <c r="AX53" s="11"/>
      <c r="AY53" s="11"/>
      <c r="AZ53" s="11"/>
      <c r="BA53" s="11"/>
      <c r="BB53" s="11"/>
      <c r="BC53" s="11"/>
      <c r="BD53" s="11"/>
      <c r="BE53" s="11"/>
      <c r="BF53" s="11"/>
      <c r="BG53" s="11"/>
      <c r="BH53" s="11"/>
    </row>
    <row r="54" spans="1:66" x14ac:dyDescent="0.2">
      <c r="A54" s="10"/>
      <c r="B54" s="366" t="s">
        <v>789</v>
      </c>
      <c r="C54" s="366"/>
      <c r="D54" s="366"/>
      <c r="E54" s="366"/>
      <c r="F54" s="366"/>
      <c r="G54" s="366"/>
      <c r="H54" s="366"/>
      <c r="I54" s="366"/>
      <c r="J54" s="366"/>
      <c r="K54" s="366"/>
      <c r="L54" s="10"/>
      <c r="M54" s="10"/>
      <c r="N54" s="10"/>
      <c r="O54" s="10"/>
      <c r="P54" s="10"/>
      <c r="Q54" s="10"/>
      <c r="R54" s="10"/>
      <c r="AT54" s="10"/>
      <c r="AU54" s="10"/>
      <c r="AV54" s="10"/>
      <c r="AW54" s="10"/>
      <c r="AX54" s="10"/>
      <c r="AY54" s="10"/>
      <c r="AZ54" s="10"/>
      <c r="BA54" s="10"/>
      <c r="BB54" s="10"/>
      <c r="BC54" s="10"/>
      <c r="BD54" s="10"/>
      <c r="BE54" s="10"/>
      <c r="BF54" s="10"/>
      <c r="BG54" s="10"/>
      <c r="BH54" s="10"/>
      <c r="BI54" s="10"/>
      <c r="BJ54" s="10"/>
      <c r="BK54" s="10"/>
      <c r="BL54" s="10"/>
      <c r="BM54" s="10"/>
      <c r="BN54" s="10"/>
    </row>
    <row r="55" spans="1:66" ht="27" customHeight="1" x14ac:dyDescent="0.2">
      <c r="A55" s="10"/>
      <c r="B55" s="366" t="s">
        <v>782</v>
      </c>
      <c r="C55" s="366"/>
      <c r="D55" s="366"/>
      <c r="E55" s="366"/>
      <c r="F55" s="366"/>
      <c r="G55" s="366"/>
      <c r="H55" s="366"/>
      <c r="I55" s="366"/>
      <c r="J55" s="116"/>
      <c r="K55" s="116"/>
      <c r="AT55" s="10"/>
      <c r="AU55" s="10"/>
      <c r="AV55" s="10"/>
      <c r="AW55" s="10"/>
      <c r="AX55" s="10"/>
      <c r="AY55" s="10"/>
      <c r="AZ55" s="10"/>
      <c r="BA55" s="10"/>
      <c r="BB55" s="10"/>
      <c r="BC55" s="10"/>
      <c r="BD55" s="10"/>
      <c r="BE55" s="10"/>
      <c r="BF55" s="10"/>
      <c r="BG55" s="10"/>
      <c r="BH55" s="10"/>
      <c r="BI55" s="10"/>
      <c r="BJ55" s="10"/>
      <c r="BK55" s="10"/>
      <c r="BL55" s="10"/>
      <c r="BM55" s="10"/>
      <c r="BN55" s="10"/>
    </row>
    <row r="56" spans="1:66" s="8" customFormat="1" ht="3" customHeight="1" x14ac:dyDescent="0.2">
      <c r="A56" s="10"/>
      <c r="C56" s="161"/>
      <c r="D56" s="31"/>
      <c r="E56" s="32"/>
      <c r="F56" s="84"/>
      <c r="G56" s="84"/>
      <c r="H56" s="84"/>
      <c r="I56" s="10"/>
      <c r="J56" s="10"/>
      <c r="K56" s="10"/>
      <c r="L56" s="10"/>
    </row>
    <row r="57" spans="1:66" ht="15" x14ac:dyDescent="0.2">
      <c r="A57" s="10"/>
      <c r="B57" s="4" t="s">
        <v>0</v>
      </c>
      <c r="C57" s="162"/>
      <c r="D57" s="4"/>
      <c r="E57" s="12"/>
      <c r="F57" s="12"/>
      <c r="G57" s="12"/>
      <c r="H57" s="12"/>
      <c r="I57" s="13"/>
      <c r="AS57" s="11"/>
      <c r="AT57" s="11"/>
      <c r="AU57" s="11"/>
      <c r="AV57" s="11"/>
      <c r="AW57" s="11"/>
      <c r="AX57" s="11"/>
      <c r="AY57" s="11"/>
      <c r="AZ57" s="11"/>
      <c r="BA57" s="11"/>
      <c r="BB57" s="11"/>
      <c r="BC57" s="11"/>
      <c r="BD57" s="11"/>
      <c r="BE57" s="11"/>
      <c r="BF57" s="11"/>
      <c r="BG57" s="11"/>
      <c r="BH57" s="11"/>
    </row>
    <row r="58" spans="1:66" x14ac:dyDescent="0.2">
      <c r="A58" s="10"/>
      <c r="B58" s="6"/>
      <c r="C58" s="30"/>
      <c r="D58" s="6"/>
      <c r="E58" s="6"/>
      <c r="F58" s="6"/>
      <c r="G58" s="6"/>
      <c r="H58" s="6"/>
      <c r="I58" s="22"/>
      <c r="AS58" s="11"/>
      <c r="AT58" s="11"/>
      <c r="AU58" s="11"/>
      <c r="AV58" s="11"/>
      <c r="AW58" s="11"/>
      <c r="AX58" s="11"/>
      <c r="AY58" s="11"/>
      <c r="AZ58" s="11"/>
      <c r="BA58" s="11"/>
      <c r="BB58" s="11"/>
      <c r="BC58" s="11"/>
      <c r="BD58" s="11"/>
      <c r="BE58" s="11"/>
      <c r="BF58" s="11"/>
      <c r="BG58" s="11"/>
      <c r="BH58" s="11"/>
    </row>
    <row r="59" spans="1:66" ht="15" x14ac:dyDescent="0.2">
      <c r="A59" s="10"/>
      <c r="B59" s="14" t="s">
        <v>2</v>
      </c>
      <c r="C59" s="163"/>
      <c r="D59" s="14"/>
      <c r="E59" s="15" t="s">
        <v>4</v>
      </c>
      <c r="F59" s="16" t="s">
        <v>7</v>
      </c>
      <c r="G59" s="16" t="s">
        <v>3</v>
      </c>
      <c r="H59" s="16" t="s">
        <v>11</v>
      </c>
      <c r="I59" s="15" t="s">
        <v>34</v>
      </c>
      <c r="AS59" s="11"/>
      <c r="AT59" s="11"/>
      <c r="AU59" s="11"/>
      <c r="AV59" s="11"/>
      <c r="AW59" s="11"/>
      <c r="AX59" s="11"/>
      <c r="AY59" s="11"/>
      <c r="AZ59" s="11"/>
      <c r="BA59" s="11"/>
      <c r="BB59" s="11"/>
      <c r="BC59" s="11"/>
      <c r="BD59" s="11"/>
      <c r="BE59" s="11"/>
      <c r="BF59" s="11"/>
      <c r="BG59" s="11"/>
      <c r="BH59" s="11"/>
    </row>
    <row r="60" spans="1:66" x14ac:dyDescent="0.2">
      <c r="A60" s="10"/>
      <c r="B60" s="45"/>
      <c r="C60" s="163"/>
      <c r="D60" s="14"/>
      <c r="E60" s="15"/>
      <c r="F60" s="16"/>
      <c r="G60" s="16"/>
      <c r="H60" s="16"/>
      <c r="I60" s="15"/>
      <c r="AS60" s="11"/>
      <c r="AT60" s="11"/>
      <c r="AU60" s="11"/>
      <c r="AV60" s="11"/>
      <c r="AW60" s="11"/>
      <c r="AX60" s="11"/>
      <c r="AY60" s="11"/>
      <c r="AZ60" s="11"/>
      <c r="BA60" s="11"/>
      <c r="BB60" s="11"/>
      <c r="BC60" s="11"/>
      <c r="BD60" s="11"/>
      <c r="BE60" s="11"/>
      <c r="BF60" s="11"/>
      <c r="BG60" s="11"/>
      <c r="BH60" s="11"/>
    </row>
    <row r="61" spans="1:66" ht="33" customHeight="1" x14ac:dyDescent="0.2">
      <c r="A61" s="10"/>
      <c r="B61" s="362" t="s">
        <v>65</v>
      </c>
      <c r="C61" s="362"/>
      <c r="D61" s="14"/>
      <c r="E61" s="30" t="s">
        <v>66</v>
      </c>
      <c r="F61" s="272">
        <v>11</v>
      </c>
      <c r="G61" s="7" t="s">
        <v>67</v>
      </c>
      <c r="H61" s="7" t="s">
        <v>13</v>
      </c>
      <c r="I61" s="15"/>
      <c r="AS61" s="11"/>
      <c r="AT61" s="11"/>
      <c r="AU61" s="11"/>
      <c r="AV61" s="11"/>
      <c r="AW61" s="11"/>
      <c r="AX61" s="11"/>
      <c r="AY61" s="11"/>
      <c r="AZ61" s="11"/>
      <c r="BA61" s="11"/>
      <c r="BB61" s="11"/>
      <c r="BC61" s="11"/>
      <c r="BD61" s="11"/>
      <c r="BE61" s="11"/>
      <c r="BF61" s="11"/>
      <c r="BG61" s="11"/>
      <c r="BH61" s="11"/>
    </row>
    <row r="62" spans="1:66" ht="5.0999999999999996" customHeight="1" thickBot="1" x14ac:dyDescent="0.25">
      <c r="A62" s="10"/>
      <c r="B62" s="45"/>
      <c r="C62" s="163"/>
      <c r="D62" s="14"/>
      <c r="E62" s="15"/>
      <c r="F62" s="16"/>
      <c r="G62" s="7"/>
      <c r="H62" s="7"/>
      <c r="I62" s="15"/>
      <c r="AS62" s="11"/>
      <c r="AT62" s="11"/>
      <c r="AU62" s="11"/>
      <c r="AV62" s="11"/>
      <c r="AW62" s="11"/>
      <c r="AX62" s="11"/>
      <c r="AY62" s="11"/>
      <c r="AZ62" s="11"/>
      <c r="BA62" s="11"/>
      <c r="BB62" s="11"/>
      <c r="BC62" s="11"/>
      <c r="BD62" s="11"/>
      <c r="BE62" s="11"/>
      <c r="BF62" s="11"/>
      <c r="BG62" s="11"/>
      <c r="BH62" s="11"/>
    </row>
    <row r="63" spans="1:66" s="8" customFormat="1" ht="33" customHeight="1" thickTop="1" thickBot="1" x14ac:dyDescent="0.25">
      <c r="B63" s="45" t="s">
        <v>146</v>
      </c>
      <c r="C63" s="313" t="s">
        <v>133</v>
      </c>
      <c r="D63" s="45"/>
      <c r="E63" s="30" t="s">
        <v>71</v>
      </c>
      <c r="F63" s="23" t="str">
        <f>INDEX('Pick-lists &amp; Defaults'!D39:D41,MATCH(C63,LowP_process,0))</f>
        <v>??</v>
      </c>
      <c r="G63" s="7" t="s">
        <v>14</v>
      </c>
      <c r="H63" s="7" t="s">
        <v>20</v>
      </c>
      <c r="I63" s="22" t="s">
        <v>147</v>
      </c>
    </row>
    <row r="64" spans="1:66" s="8" customFormat="1" ht="5.0999999999999996" customHeight="1" thickTop="1" x14ac:dyDescent="0.2">
      <c r="B64" s="45"/>
      <c r="C64" s="152"/>
      <c r="D64" s="45"/>
      <c r="E64" s="30"/>
      <c r="F64" s="7"/>
      <c r="G64" s="7"/>
      <c r="H64" s="7"/>
      <c r="I64" s="7"/>
    </row>
    <row r="65" spans="2:66" s="8" customFormat="1" x14ac:dyDescent="0.2">
      <c r="B65" s="362" t="s">
        <v>72</v>
      </c>
      <c r="C65" s="362"/>
      <c r="D65" s="34"/>
      <c r="E65" s="45" t="s">
        <v>73</v>
      </c>
      <c r="F65" s="273">
        <v>30</v>
      </c>
      <c r="G65" s="7" t="s">
        <v>10</v>
      </c>
      <c r="H65" s="7" t="s">
        <v>13</v>
      </c>
      <c r="I65" s="34"/>
    </row>
    <row r="66" spans="2:66" s="8" customFormat="1" ht="5.0999999999999996" customHeight="1" x14ac:dyDescent="0.2">
      <c r="B66" s="362"/>
      <c r="C66" s="362"/>
      <c r="D66" s="34"/>
      <c r="E66" s="22"/>
      <c r="F66" s="273"/>
      <c r="G66" s="19"/>
      <c r="H66" s="7"/>
      <c r="I66" s="34"/>
    </row>
    <row r="67" spans="2:66" s="8" customFormat="1" ht="25.5" x14ac:dyDescent="0.2">
      <c r="B67" s="362" t="s">
        <v>74</v>
      </c>
      <c r="C67" s="362"/>
      <c r="D67" s="34"/>
      <c r="E67" s="22" t="s">
        <v>75</v>
      </c>
      <c r="F67" s="273">
        <v>7300</v>
      </c>
      <c r="G67" s="19" t="s">
        <v>10</v>
      </c>
      <c r="H67" s="7" t="s">
        <v>13</v>
      </c>
      <c r="I67" s="146" t="s">
        <v>657</v>
      </c>
    </row>
    <row r="68" spans="2:66" s="8" customFormat="1" ht="5.0999999999999996" customHeight="1" x14ac:dyDescent="0.2">
      <c r="B68" s="45"/>
      <c r="C68" s="152"/>
      <c r="D68" s="34"/>
      <c r="E68" s="22"/>
      <c r="F68" s="273"/>
      <c r="G68" s="19"/>
      <c r="H68" s="7"/>
      <c r="I68" s="34"/>
    </row>
    <row r="69" spans="2:66" s="8" customFormat="1" ht="33" customHeight="1" x14ac:dyDescent="0.2">
      <c r="B69" s="362" t="s">
        <v>126</v>
      </c>
      <c r="C69" s="362"/>
      <c r="D69" s="34"/>
      <c r="E69" s="22" t="s">
        <v>148</v>
      </c>
      <c r="F69" s="274"/>
      <c r="G69" s="19" t="s">
        <v>77</v>
      </c>
      <c r="H69" s="7" t="s">
        <v>6</v>
      </c>
      <c r="I69" s="34"/>
    </row>
    <row r="70" spans="2:66" s="8" customFormat="1" ht="5.0999999999999996" customHeight="1" x14ac:dyDescent="0.2">
      <c r="B70" s="45"/>
      <c r="C70" s="152"/>
      <c r="D70" s="34"/>
      <c r="E70" s="22"/>
      <c r="F70" s="273"/>
      <c r="G70" s="19"/>
      <c r="H70" s="7"/>
      <c r="I70" s="34"/>
    </row>
    <row r="71" spans="2:66" s="8" customFormat="1" ht="15" x14ac:dyDescent="0.2">
      <c r="B71" s="45" t="s">
        <v>25</v>
      </c>
      <c r="C71" s="152"/>
      <c r="D71" s="34"/>
      <c r="E71" s="22" t="s">
        <v>30</v>
      </c>
      <c r="F71" s="273">
        <v>1700</v>
      </c>
      <c r="G71" s="19" t="s">
        <v>32</v>
      </c>
      <c r="H71" s="7" t="s">
        <v>13</v>
      </c>
      <c r="I71" s="34"/>
    </row>
    <row r="72" spans="2:66" s="8" customFormat="1" ht="5.0999999999999996" customHeight="1" x14ac:dyDescent="0.2">
      <c r="B72" s="45"/>
      <c r="C72" s="152"/>
      <c r="D72" s="34"/>
      <c r="E72" s="22"/>
      <c r="F72" s="273"/>
      <c r="G72" s="19"/>
      <c r="H72" s="7"/>
      <c r="I72" s="34"/>
    </row>
    <row r="73" spans="2:66" s="8" customFormat="1" ht="14.25" x14ac:dyDescent="0.2">
      <c r="B73" s="362" t="s">
        <v>78</v>
      </c>
      <c r="C73" s="362"/>
      <c r="D73" s="34"/>
      <c r="E73" s="22" t="s">
        <v>80</v>
      </c>
      <c r="F73" s="273">
        <v>0.5</v>
      </c>
      <c r="G73" s="19" t="s">
        <v>79</v>
      </c>
      <c r="H73" s="7" t="s">
        <v>13</v>
      </c>
      <c r="I73" s="34"/>
    </row>
    <row r="74" spans="2:66" s="8" customFormat="1" ht="5.0999999999999996" customHeight="1" x14ac:dyDescent="0.2">
      <c r="B74" s="45"/>
      <c r="C74" s="152"/>
      <c r="D74" s="34"/>
      <c r="E74" s="22"/>
      <c r="F74" s="273"/>
      <c r="G74" s="19"/>
      <c r="H74" s="7"/>
      <c r="I74" s="34"/>
    </row>
    <row r="75" spans="2:66" s="8" customFormat="1" ht="14.25" x14ac:dyDescent="0.2">
      <c r="B75" s="362" t="s">
        <v>81</v>
      </c>
      <c r="C75" s="362"/>
      <c r="D75" s="34"/>
      <c r="E75" s="22" t="s">
        <v>82</v>
      </c>
      <c r="F75" s="273">
        <v>0.5</v>
      </c>
      <c r="G75" s="19" t="s">
        <v>5</v>
      </c>
      <c r="H75" s="7" t="s">
        <v>13</v>
      </c>
      <c r="I75" s="34"/>
    </row>
    <row r="76" spans="2:66" s="8" customFormat="1" ht="5.0999999999999996" customHeight="1" x14ac:dyDescent="0.2">
      <c r="B76" s="45"/>
      <c r="C76" s="152"/>
      <c r="D76" s="34"/>
      <c r="E76" s="22"/>
      <c r="F76" s="273"/>
      <c r="G76" s="19"/>
      <c r="H76" s="7"/>
      <c r="I76" s="34"/>
    </row>
    <row r="77" spans="2:66" s="8" customFormat="1" ht="33" customHeight="1" x14ac:dyDescent="0.2">
      <c r="B77" s="362" t="s">
        <v>112</v>
      </c>
      <c r="C77" s="362"/>
      <c r="D77" s="34"/>
      <c r="E77" s="22" t="s">
        <v>27</v>
      </c>
      <c r="F77" s="273">
        <v>25920</v>
      </c>
      <c r="G77" s="19" t="s">
        <v>460</v>
      </c>
      <c r="H77" s="7" t="s">
        <v>13</v>
      </c>
      <c r="I77" s="107" t="s">
        <v>461</v>
      </c>
    </row>
    <row r="78" spans="2:66" s="8" customFormat="1" x14ac:dyDescent="0.2">
      <c r="B78" s="227"/>
      <c r="C78" s="227"/>
      <c r="D78" s="34"/>
      <c r="E78" s="22"/>
      <c r="F78" s="7"/>
      <c r="G78" s="19"/>
      <c r="H78" s="7"/>
      <c r="I78" s="107"/>
      <c r="J78" s="10"/>
      <c r="K78" s="10"/>
    </row>
    <row r="79" spans="2:66" s="8" customFormat="1" ht="12.75" customHeight="1" x14ac:dyDescent="0.2">
      <c r="B79" s="365" t="s">
        <v>548</v>
      </c>
      <c r="C79" s="365"/>
      <c r="D79" s="365"/>
      <c r="E79" s="365"/>
      <c r="F79" s="365"/>
      <c r="G79" s="365"/>
      <c r="H79" s="365"/>
      <c r="I79" s="365"/>
      <c r="J79" s="10"/>
      <c r="K79" s="10"/>
      <c r="AT79" s="10"/>
      <c r="AU79" s="10"/>
      <c r="AV79" s="10"/>
      <c r="AW79" s="10"/>
      <c r="AX79" s="10"/>
      <c r="AY79" s="10"/>
      <c r="AZ79" s="10"/>
      <c r="BA79" s="10"/>
      <c r="BB79" s="10"/>
      <c r="BC79" s="10"/>
      <c r="BD79" s="10"/>
      <c r="BE79" s="10"/>
      <c r="BF79" s="10"/>
      <c r="BG79" s="10"/>
      <c r="BH79" s="10"/>
      <c r="BI79" s="10"/>
      <c r="BJ79" s="10"/>
      <c r="BK79" s="10"/>
      <c r="BL79" s="10"/>
      <c r="BM79" s="10"/>
      <c r="BN79" s="10"/>
    </row>
    <row r="80" spans="2:66" s="8" customFormat="1" x14ac:dyDescent="0.2">
      <c r="B80" s="227"/>
      <c r="C80" s="227"/>
      <c r="D80" s="34"/>
      <c r="E80" s="22"/>
      <c r="F80" s="7"/>
      <c r="G80" s="19"/>
      <c r="H80" s="7"/>
      <c r="I80" s="34"/>
      <c r="J80" s="148"/>
      <c r="K80" s="18"/>
      <c r="AT80" s="10"/>
      <c r="AU80" s="10"/>
      <c r="AV80" s="10"/>
      <c r="AW80" s="10"/>
      <c r="AX80" s="10"/>
      <c r="AY80" s="10"/>
      <c r="AZ80" s="10"/>
      <c r="BA80" s="10"/>
      <c r="BB80" s="10"/>
      <c r="BC80" s="10"/>
      <c r="BD80" s="10"/>
      <c r="BE80" s="10"/>
      <c r="BF80" s="10"/>
      <c r="BG80" s="10"/>
      <c r="BH80" s="10"/>
      <c r="BI80" s="10"/>
      <c r="BJ80" s="10"/>
      <c r="BK80" s="10"/>
      <c r="BL80" s="10"/>
      <c r="BM80" s="10"/>
      <c r="BN80" s="10"/>
    </row>
    <row r="81" spans="1:66" s="8" customFormat="1" ht="15" x14ac:dyDescent="0.2">
      <c r="B81" s="362" t="s">
        <v>442</v>
      </c>
      <c r="C81" s="362"/>
      <c r="D81" s="34"/>
      <c r="E81" s="22" t="s">
        <v>653</v>
      </c>
      <c r="F81" s="326"/>
      <c r="G81" s="19" t="s">
        <v>443</v>
      </c>
      <c r="H81" s="7" t="s">
        <v>6</v>
      </c>
      <c r="I81" s="34"/>
      <c r="J81" s="10"/>
      <c r="K81" s="10"/>
      <c r="AT81" s="10"/>
      <c r="AU81" s="10"/>
      <c r="AV81" s="10"/>
      <c r="AW81" s="10"/>
      <c r="AX81" s="10"/>
      <c r="AY81" s="10"/>
      <c r="AZ81" s="10"/>
      <c r="BA81" s="10"/>
      <c r="BB81" s="10"/>
      <c r="BC81" s="10"/>
      <c r="BD81" s="10"/>
      <c r="BE81" s="10"/>
      <c r="BF81" s="10"/>
      <c r="BG81" s="10"/>
      <c r="BH81" s="10"/>
      <c r="BI81" s="10"/>
      <c r="BJ81" s="10"/>
      <c r="BK81" s="10"/>
      <c r="BL81" s="10"/>
      <c r="BM81" s="10"/>
      <c r="BN81" s="10"/>
    </row>
    <row r="82" spans="1:66" s="8" customFormat="1" ht="5.0999999999999996" customHeight="1" x14ac:dyDescent="0.2">
      <c r="B82" s="227"/>
      <c r="C82" s="227"/>
      <c r="D82" s="34"/>
      <c r="E82" s="22"/>
      <c r="F82" s="273"/>
      <c r="G82" s="19"/>
      <c r="H82" s="7"/>
      <c r="I82" s="34"/>
      <c r="J82" s="10"/>
      <c r="K82" s="10"/>
      <c r="AT82" s="10"/>
      <c r="AU82" s="10"/>
      <c r="AV82" s="10"/>
      <c r="AW82" s="10"/>
      <c r="AX82" s="10"/>
      <c r="AY82" s="10"/>
      <c r="AZ82" s="10"/>
      <c r="BA82" s="10"/>
      <c r="BB82" s="10"/>
      <c r="BC82" s="10"/>
      <c r="BD82" s="10"/>
      <c r="BE82" s="10"/>
      <c r="BF82" s="10"/>
      <c r="BG82" s="10"/>
      <c r="BH82" s="10"/>
      <c r="BI82" s="10"/>
      <c r="BJ82" s="10"/>
      <c r="BK82" s="10"/>
      <c r="BL82" s="10"/>
      <c r="BM82" s="10"/>
      <c r="BN82" s="10"/>
    </row>
    <row r="83" spans="1:66" s="8" customFormat="1" ht="15" x14ac:dyDescent="0.2">
      <c r="B83" s="22" t="s">
        <v>448</v>
      </c>
      <c r="C83" s="22"/>
      <c r="D83" s="34"/>
      <c r="E83" s="22" t="s">
        <v>449</v>
      </c>
      <c r="F83" s="274"/>
      <c r="G83" s="7" t="s">
        <v>450</v>
      </c>
      <c r="H83" s="7" t="s">
        <v>6</v>
      </c>
      <c r="I83" s="34"/>
      <c r="J83" s="10"/>
      <c r="K83" s="10"/>
      <c r="AT83" s="10"/>
      <c r="AU83" s="10"/>
      <c r="AV83" s="10"/>
      <c r="AW83" s="10"/>
      <c r="AX83" s="10"/>
      <c r="AY83" s="10"/>
      <c r="AZ83" s="10"/>
      <c r="BA83" s="10"/>
      <c r="BB83" s="10"/>
      <c r="BC83" s="10"/>
      <c r="BD83" s="10"/>
      <c r="BE83" s="10"/>
      <c r="BF83" s="10"/>
      <c r="BG83" s="10"/>
      <c r="BH83" s="10"/>
      <c r="BI83" s="10"/>
      <c r="BJ83" s="10"/>
      <c r="BK83" s="10"/>
      <c r="BL83" s="10"/>
      <c r="BM83" s="10"/>
      <c r="BN83" s="10"/>
    </row>
    <row r="84" spans="1:66" x14ac:dyDescent="0.2">
      <c r="A84" s="10"/>
      <c r="B84" s="227"/>
      <c r="C84" s="14"/>
      <c r="D84" s="14"/>
      <c r="E84" s="15"/>
      <c r="F84" s="16"/>
      <c r="G84" s="16"/>
      <c r="H84" s="16"/>
      <c r="I84" s="34"/>
      <c r="J84" s="10"/>
      <c r="K84" s="229"/>
      <c r="AT84" s="10"/>
      <c r="AU84" s="10"/>
      <c r="AV84" s="10"/>
      <c r="AW84" s="10"/>
      <c r="AX84" s="10"/>
      <c r="AY84" s="10"/>
      <c r="AZ84" s="10"/>
      <c r="BA84" s="10"/>
      <c r="BB84" s="10"/>
      <c r="BC84" s="10"/>
      <c r="BD84" s="10"/>
      <c r="BE84" s="10"/>
      <c r="BF84" s="10"/>
      <c r="BG84" s="10"/>
      <c r="BH84" s="10"/>
      <c r="BI84" s="10"/>
      <c r="BJ84" s="10"/>
      <c r="BK84" s="10"/>
      <c r="BL84" s="10"/>
      <c r="BM84" s="10"/>
      <c r="BN84" s="10"/>
    </row>
    <row r="85" spans="1:66" ht="15" x14ac:dyDescent="0.2">
      <c r="A85" s="10"/>
      <c r="B85" s="4" t="s">
        <v>83</v>
      </c>
      <c r="C85" s="162"/>
      <c r="D85" s="4"/>
      <c r="E85" s="4"/>
      <c r="F85" s="12"/>
      <c r="G85" s="12"/>
      <c r="H85" s="12"/>
      <c r="I85" s="12"/>
      <c r="AT85" s="11"/>
      <c r="AU85" s="11"/>
      <c r="AV85" s="11"/>
      <c r="AW85" s="11"/>
      <c r="AX85" s="11"/>
      <c r="AY85" s="11"/>
      <c r="AZ85" s="11"/>
      <c r="BA85" s="11"/>
      <c r="BB85" s="11"/>
      <c r="BC85" s="11"/>
      <c r="BD85" s="11"/>
      <c r="BE85" s="11"/>
      <c r="BF85" s="11"/>
      <c r="BG85" s="11"/>
      <c r="BH85" s="11"/>
    </row>
    <row r="86" spans="1:66" x14ac:dyDescent="0.2">
      <c r="A86" s="10"/>
      <c r="B86" s="6"/>
      <c r="C86" s="30"/>
      <c r="D86" s="6"/>
      <c r="E86" s="6"/>
      <c r="F86" s="6"/>
      <c r="G86" s="6"/>
      <c r="H86" s="6"/>
      <c r="I86" s="6"/>
      <c r="AT86" s="11"/>
      <c r="AU86" s="11"/>
      <c r="AV86" s="11"/>
      <c r="AW86" s="11"/>
      <c r="AX86" s="11"/>
      <c r="AY86" s="11"/>
      <c r="AZ86" s="11"/>
      <c r="BA86" s="11"/>
      <c r="BB86" s="11"/>
      <c r="BC86" s="11"/>
      <c r="BD86" s="11"/>
      <c r="BE86" s="11"/>
      <c r="BF86" s="11"/>
      <c r="BG86" s="11"/>
      <c r="BH86" s="11"/>
    </row>
    <row r="87" spans="1:66" ht="15" x14ac:dyDescent="0.2">
      <c r="A87" s="10"/>
      <c r="B87" s="14" t="s">
        <v>2</v>
      </c>
      <c r="C87" s="163"/>
      <c r="D87" s="14"/>
      <c r="E87" s="15" t="s">
        <v>4</v>
      </c>
      <c r="F87" s="16" t="s">
        <v>7</v>
      </c>
      <c r="G87" s="16" t="s">
        <v>3</v>
      </c>
      <c r="H87" s="16" t="s">
        <v>11</v>
      </c>
      <c r="I87" s="15" t="s">
        <v>34</v>
      </c>
      <c r="AT87" s="11"/>
      <c r="AU87" s="11"/>
      <c r="AV87" s="11"/>
      <c r="AW87" s="11"/>
      <c r="AX87" s="11"/>
      <c r="AY87" s="11"/>
      <c r="AZ87" s="11"/>
      <c r="BA87" s="11"/>
      <c r="BB87" s="11"/>
      <c r="BC87" s="11"/>
      <c r="BD87" s="11"/>
      <c r="BE87" s="11"/>
      <c r="BF87" s="11"/>
      <c r="BG87" s="11"/>
      <c r="BH87" s="11"/>
    </row>
    <row r="88" spans="1:66" x14ac:dyDescent="0.2">
      <c r="A88" s="10"/>
      <c r="B88" s="17"/>
      <c r="C88" s="164"/>
      <c r="D88" s="17"/>
      <c r="E88" s="17"/>
      <c r="F88" s="17"/>
      <c r="G88" s="17"/>
      <c r="H88" s="17"/>
      <c r="I88" s="22"/>
      <c r="AT88" s="11"/>
      <c r="AU88" s="11"/>
      <c r="AV88" s="11"/>
      <c r="AW88" s="11"/>
      <c r="AX88" s="11"/>
      <c r="AY88" s="11"/>
      <c r="AZ88" s="11"/>
      <c r="BA88" s="11"/>
      <c r="BB88" s="11"/>
      <c r="BC88" s="11"/>
      <c r="BD88" s="11"/>
      <c r="BE88" s="11"/>
      <c r="BF88" s="11"/>
      <c r="BG88" s="11"/>
      <c r="BH88" s="11"/>
    </row>
    <row r="89" spans="1:66" ht="15" x14ac:dyDescent="0.2">
      <c r="A89" s="10"/>
      <c r="B89" s="45" t="s">
        <v>84</v>
      </c>
      <c r="C89" s="164"/>
      <c r="D89" s="17"/>
      <c r="E89" s="30" t="s">
        <v>23</v>
      </c>
      <c r="F89" s="24" t="str">
        <f>IF(ISNUMBER(AREAstorage),AREAstorage*DEPTHsoil,"??")</f>
        <v>??</v>
      </c>
      <c r="G89" s="7" t="s">
        <v>24</v>
      </c>
      <c r="H89" s="7" t="s">
        <v>8</v>
      </c>
      <c r="I89" s="152" t="s">
        <v>93</v>
      </c>
      <c r="AT89" s="11"/>
      <c r="AU89" s="11"/>
      <c r="AV89" s="11"/>
      <c r="AW89" s="11"/>
      <c r="AX89" s="11"/>
      <c r="AY89" s="11"/>
      <c r="AZ89" s="11"/>
      <c r="BA89" s="11"/>
      <c r="BB89" s="11"/>
      <c r="BC89" s="11"/>
      <c r="BD89" s="11"/>
      <c r="BE89" s="11"/>
      <c r="BF89" s="11"/>
      <c r="BG89" s="11"/>
      <c r="BH89" s="11"/>
    </row>
    <row r="90" spans="1:66" ht="5.0999999999999996" customHeight="1" x14ac:dyDescent="0.2">
      <c r="A90" s="10"/>
      <c r="B90" s="45"/>
      <c r="C90" s="164"/>
      <c r="D90" s="17"/>
      <c r="E90" s="30"/>
      <c r="F90" s="17"/>
      <c r="G90" s="7"/>
      <c r="H90" s="17"/>
      <c r="I90" s="152"/>
      <c r="AT90" s="11"/>
      <c r="AU90" s="11"/>
      <c r="AV90" s="11"/>
      <c r="AW90" s="11"/>
      <c r="AX90" s="11"/>
      <c r="AY90" s="11"/>
      <c r="AZ90" s="11"/>
      <c r="BA90" s="11"/>
      <c r="BB90" s="11"/>
      <c r="BC90" s="11"/>
      <c r="BD90" s="11"/>
      <c r="BE90" s="11"/>
      <c r="BF90" s="11"/>
      <c r="BG90" s="11"/>
      <c r="BH90" s="11"/>
    </row>
    <row r="91" spans="1:66" ht="33" customHeight="1" x14ac:dyDescent="0.2">
      <c r="A91" s="10"/>
      <c r="B91" s="362" t="s">
        <v>85</v>
      </c>
      <c r="C91" s="362"/>
      <c r="D91" s="17"/>
      <c r="E91" s="30" t="s">
        <v>106</v>
      </c>
      <c r="F91" s="228" t="str">
        <f>IF(AND(ISNUMBER(FLUXstorage_vac_pres),ISNUMBER(AREAstorage)),FLUXstorage_vac_pres*AREAwood_expo*AREAstorage*TIME1,"??")</f>
        <v>??</v>
      </c>
      <c r="G91" s="7" t="s">
        <v>87</v>
      </c>
      <c r="H91" s="7" t="s">
        <v>8</v>
      </c>
      <c r="I91" s="152" t="s">
        <v>149</v>
      </c>
      <c r="AT91" s="11"/>
      <c r="AU91" s="11"/>
      <c r="AV91" s="11"/>
      <c r="AW91" s="11"/>
      <c r="AX91" s="11"/>
      <c r="AY91" s="11"/>
      <c r="AZ91" s="11"/>
      <c r="BA91" s="11"/>
      <c r="BB91" s="11"/>
      <c r="BC91" s="11"/>
      <c r="BD91" s="11"/>
      <c r="BE91" s="11"/>
      <c r="BF91" s="11"/>
      <c r="BG91" s="11"/>
      <c r="BH91" s="11"/>
    </row>
    <row r="92" spans="1:66" ht="5.0999999999999996" customHeight="1" x14ac:dyDescent="0.2">
      <c r="A92" s="10"/>
      <c r="B92" s="45"/>
      <c r="C92" s="164"/>
      <c r="D92" s="17"/>
      <c r="E92" s="30"/>
      <c r="F92" s="17"/>
      <c r="G92" s="7"/>
      <c r="H92" s="17"/>
      <c r="I92" s="152"/>
      <c r="AT92" s="11"/>
      <c r="AU92" s="11"/>
      <c r="AV92" s="11"/>
      <c r="AW92" s="11"/>
      <c r="AX92" s="11"/>
      <c r="AY92" s="11"/>
      <c r="AZ92" s="11"/>
      <c r="BA92" s="11"/>
      <c r="BB92" s="11"/>
      <c r="BC92" s="11"/>
      <c r="BD92" s="11"/>
      <c r="BE92" s="11"/>
      <c r="BF92" s="11"/>
      <c r="BG92" s="11"/>
      <c r="BH92" s="11"/>
    </row>
    <row r="93" spans="1:66" s="8" customFormat="1" ht="33" customHeight="1" x14ac:dyDescent="0.2">
      <c r="A93" s="10"/>
      <c r="B93" s="362" t="s">
        <v>86</v>
      </c>
      <c r="C93" s="362"/>
      <c r="D93" s="30"/>
      <c r="E93" s="30" t="s">
        <v>107</v>
      </c>
      <c r="F93" s="228" t="str">
        <f>IF(AND(ISNUMBER(FLUXstorage_vac_pres),ISNUMBER(AREAstorage),ISNUMBER(TIME2)),FLUXstorage_vac_pres*AREAwood_expo*AREAstorage*TIME2,"??")</f>
        <v>??</v>
      </c>
      <c r="G93" s="7" t="s">
        <v>87</v>
      </c>
      <c r="H93" s="7" t="s">
        <v>8</v>
      </c>
      <c r="I93" s="152" t="s">
        <v>150</v>
      </c>
    </row>
    <row r="94" spans="1:66" ht="5.0999999999999996" customHeight="1" x14ac:dyDescent="0.2">
      <c r="A94" s="10"/>
      <c r="B94" s="17"/>
      <c r="C94" s="17"/>
      <c r="D94" s="17"/>
      <c r="E94" s="17"/>
      <c r="F94" s="17"/>
      <c r="G94" s="17"/>
      <c r="H94" s="17"/>
      <c r="I94" s="22"/>
      <c r="AT94" s="10"/>
      <c r="AU94" s="10"/>
      <c r="AV94" s="10"/>
      <c r="AW94" s="10"/>
      <c r="AX94" s="10"/>
      <c r="AY94" s="10"/>
      <c r="AZ94" s="10"/>
      <c r="BA94" s="10"/>
      <c r="BB94" s="10"/>
      <c r="BC94" s="10"/>
      <c r="BD94" s="10"/>
      <c r="BE94" s="10"/>
      <c r="BF94" s="10"/>
      <c r="BG94" s="10"/>
      <c r="BH94" s="10"/>
      <c r="BI94" s="10"/>
      <c r="BJ94" s="10"/>
      <c r="BK94" s="10"/>
      <c r="BL94" s="10"/>
      <c r="BM94" s="10"/>
      <c r="BN94" s="10"/>
    </row>
    <row r="95" spans="1:66" ht="33" customHeight="1" x14ac:dyDescent="0.2">
      <c r="A95" s="10"/>
      <c r="B95" s="362" t="s">
        <v>950</v>
      </c>
      <c r="C95" s="362"/>
      <c r="D95" s="14"/>
      <c r="E95" s="30" t="s">
        <v>440</v>
      </c>
      <c r="F95" s="228" t="str">
        <f>IF(ISNUMBER(FLUXstorage_vac_pres),FLUXstorage_vac_pres*AREAwood_expo,"??")</f>
        <v>??</v>
      </c>
      <c r="G95" s="19" t="s">
        <v>936</v>
      </c>
      <c r="H95" s="7" t="s">
        <v>8</v>
      </c>
      <c r="I95" s="22" t="s">
        <v>441</v>
      </c>
      <c r="AT95" s="10"/>
      <c r="AU95" s="10"/>
      <c r="AV95" s="10"/>
      <c r="AW95" s="10"/>
      <c r="AX95" s="10"/>
      <c r="AY95" s="10"/>
      <c r="AZ95" s="10"/>
      <c r="BA95" s="10"/>
      <c r="BB95" s="10"/>
      <c r="BC95" s="10"/>
      <c r="BD95" s="10"/>
      <c r="BE95" s="10"/>
      <c r="BF95" s="10"/>
      <c r="BG95" s="10"/>
      <c r="BH95" s="10"/>
      <c r="BI95" s="10"/>
      <c r="BJ95" s="10"/>
      <c r="BK95" s="10"/>
      <c r="BL95" s="10"/>
      <c r="BM95" s="10"/>
      <c r="BN95" s="10"/>
    </row>
    <row r="96" spans="1:66" s="8" customFormat="1" x14ac:dyDescent="0.2">
      <c r="B96" s="45"/>
      <c r="C96" s="152"/>
      <c r="D96" s="45"/>
      <c r="E96" s="30"/>
      <c r="F96" s="22"/>
      <c r="G96" s="7"/>
      <c r="H96" s="7"/>
      <c r="I96" s="7"/>
    </row>
    <row r="97" spans="1:66" ht="15" x14ac:dyDescent="0.2">
      <c r="A97" s="10"/>
      <c r="B97" s="4" t="s">
        <v>1</v>
      </c>
      <c r="C97" s="162"/>
      <c r="D97" s="4"/>
      <c r="E97" s="4"/>
      <c r="F97" s="12"/>
      <c r="G97" s="12"/>
      <c r="H97" s="12"/>
      <c r="I97" s="12"/>
      <c r="AT97" s="11"/>
      <c r="AU97" s="11"/>
      <c r="AV97" s="11"/>
      <c r="AW97" s="11"/>
      <c r="AX97" s="11"/>
      <c r="AY97" s="11"/>
      <c r="AZ97" s="11"/>
      <c r="BA97" s="11"/>
      <c r="BB97" s="11"/>
      <c r="BC97" s="11"/>
      <c r="BD97" s="11"/>
      <c r="BE97" s="11"/>
      <c r="BF97" s="11"/>
      <c r="BG97" s="11"/>
      <c r="BH97" s="11"/>
    </row>
    <row r="98" spans="1:66" x14ac:dyDescent="0.2">
      <c r="A98" s="10"/>
      <c r="B98" s="6"/>
      <c r="C98" s="30"/>
      <c r="D98" s="6"/>
      <c r="E98" s="6"/>
      <c r="F98" s="6"/>
      <c r="G98" s="6"/>
      <c r="H98" s="6"/>
      <c r="I98" s="6"/>
      <c r="AT98" s="11"/>
      <c r="AU98" s="11"/>
      <c r="AV98" s="11"/>
      <c r="AW98" s="11"/>
      <c r="AX98" s="11"/>
      <c r="AY98" s="11"/>
      <c r="AZ98" s="11"/>
      <c r="BA98" s="11"/>
      <c r="BB98" s="11"/>
      <c r="BC98" s="11"/>
      <c r="BD98" s="11"/>
      <c r="BE98" s="11"/>
      <c r="BF98" s="11"/>
      <c r="BG98" s="11"/>
      <c r="BH98" s="11"/>
    </row>
    <row r="99" spans="1:66" ht="15" x14ac:dyDescent="0.2">
      <c r="A99" s="10"/>
      <c r="B99" s="14" t="s">
        <v>2</v>
      </c>
      <c r="C99" s="163"/>
      <c r="D99" s="14"/>
      <c r="E99" s="15" t="s">
        <v>4</v>
      </c>
      <c r="F99" s="16" t="s">
        <v>7</v>
      </c>
      <c r="G99" s="16" t="s">
        <v>3</v>
      </c>
      <c r="H99" s="16" t="s">
        <v>11</v>
      </c>
      <c r="I99" s="15" t="s">
        <v>34</v>
      </c>
      <c r="AT99" s="11"/>
      <c r="AU99" s="11"/>
      <c r="AV99" s="11"/>
      <c r="AW99" s="11"/>
      <c r="AX99" s="11"/>
      <c r="AY99" s="11"/>
      <c r="AZ99" s="11"/>
      <c r="BA99" s="11"/>
      <c r="BB99" s="11"/>
      <c r="BC99" s="11"/>
      <c r="BD99" s="11"/>
      <c r="BE99" s="11"/>
      <c r="BF99" s="11"/>
      <c r="BG99" s="11"/>
      <c r="BH99" s="11"/>
    </row>
    <row r="100" spans="1:66" x14ac:dyDescent="0.2">
      <c r="A100" s="10"/>
      <c r="B100" s="14"/>
      <c r="C100" s="163"/>
      <c r="D100" s="14"/>
      <c r="E100" s="15"/>
      <c r="F100" s="16"/>
      <c r="G100" s="16"/>
      <c r="H100" s="16"/>
      <c r="I100" s="15"/>
      <c r="AT100" s="11"/>
      <c r="AU100" s="11"/>
      <c r="AV100" s="11"/>
      <c r="AW100" s="11"/>
      <c r="AX100" s="11"/>
      <c r="AY100" s="11"/>
      <c r="AZ100" s="11"/>
      <c r="BA100" s="11"/>
      <c r="BB100" s="11"/>
      <c r="BC100" s="11"/>
      <c r="BD100" s="11"/>
      <c r="BE100" s="11"/>
      <c r="BF100" s="11"/>
      <c r="BG100" s="11"/>
      <c r="BH100" s="11"/>
    </row>
    <row r="101" spans="1:66" x14ac:dyDescent="0.2">
      <c r="A101" s="10"/>
      <c r="B101" s="121" t="s">
        <v>549</v>
      </c>
      <c r="C101" s="17"/>
      <c r="D101" s="17"/>
      <c r="E101" s="17"/>
      <c r="F101" s="17"/>
      <c r="G101" s="17"/>
      <c r="H101" s="17"/>
      <c r="I101" s="17"/>
      <c r="AT101" s="10"/>
      <c r="AU101" s="10"/>
      <c r="AV101" s="10"/>
      <c r="AW101" s="10"/>
      <c r="AX101" s="10"/>
      <c r="AY101" s="10"/>
      <c r="AZ101" s="10"/>
      <c r="BA101" s="10"/>
      <c r="BB101" s="10"/>
      <c r="BC101" s="10"/>
      <c r="BD101" s="10"/>
      <c r="BE101" s="10"/>
      <c r="BF101" s="10"/>
      <c r="BG101" s="10"/>
      <c r="BH101" s="10"/>
      <c r="BI101" s="10"/>
      <c r="BJ101" s="10"/>
      <c r="BK101" s="10"/>
      <c r="BL101" s="10"/>
      <c r="BM101" s="10"/>
      <c r="BN101" s="10"/>
    </row>
    <row r="102" spans="1:66" ht="3" customHeight="1" x14ac:dyDescent="0.2">
      <c r="A102" s="10"/>
      <c r="B102" s="17"/>
      <c r="C102" s="17"/>
      <c r="D102" s="17"/>
      <c r="E102" s="17"/>
      <c r="F102" s="17"/>
      <c r="G102" s="17"/>
      <c r="H102" s="17"/>
      <c r="I102" s="17"/>
      <c r="AT102" s="10"/>
      <c r="AU102" s="10"/>
      <c r="AV102" s="10"/>
      <c r="AW102" s="10"/>
      <c r="AX102" s="10"/>
      <c r="AY102" s="10"/>
      <c r="AZ102" s="10"/>
      <c r="BA102" s="10"/>
      <c r="BB102" s="10"/>
      <c r="BC102" s="10"/>
      <c r="BD102" s="10"/>
      <c r="BE102" s="10"/>
      <c r="BF102" s="10"/>
      <c r="BG102" s="10"/>
      <c r="BH102" s="10"/>
      <c r="BI102" s="10"/>
      <c r="BJ102" s="10"/>
      <c r="BK102" s="10"/>
      <c r="BL102" s="10"/>
      <c r="BM102" s="10"/>
      <c r="BN102" s="10"/>
    </row>
    <row r="103" spans="1:66" s="8" customFormat="1" ht="25.15" customHeight="1" x14ac:dyDescent="0.2">
      <c r="A103" s="10"/>
      <c r="B103" s="363" t="s">
        <v>930</v>
      </c>
      <c r="C103" s="363"/>
      <c r="D103" s="347"/>
      <c r="E103" s="167" t="s">
        <v>937</v>
      </c>
      <c r="F103" s="343" t="str">
        <f>IF(ISNUMBER(Qleach_storage_TIME1),Qleach_storage_TIME1*(1-Frunoff)/TIME1,"??")</f>
        <v>??</v>
      </c>
      <c r="G103" s="19" t="s">
        <v>936</v>
      </c>
      <c r="H103" s="19" t="s">
        <v>8</v>
      </c>
      <c r="I103" s="347" t="s">
        <v>938</v>
      </c>
    </row>
    <row r="104" spans="1:66" s="8" customFormat="1" ht="3" customHeight="1" x14ac:dyDescent="0.2">
      <c r="A104" s="10"/>
      <c r="B104" s="347"/>
      <c r="C104" s="347"/>
      <c r="D104" s="347"/>
      <c r="E104" s="167"/>
      <c r="F104" s="167"/>
      <c r="G104" s="19"/>
      <c r="H104" s="19"/>
      <c r="I104" s="347"/>
    </row>
    <row r="105" spans="1:66" s="8" customFormat="1" ht="25.15" customHeight="1" x14ac:dyDescent="0.2">
      <c r="A105" s="10"/>
      <c r="B105" s="363" t="s">
        <v>931</v>
      </c>
      <c r="C105" s="363"/>
      <c r="D105" s="347"/>
      <c r="E105" s="167" t="s">
        <v>939</v>
      </c>
      <c r="F105" s="343" t="str">
        <f>IF(ISNUMBER(Qleach_storage_TIME1),Qleach_storage_TIME2*(1-Frunoff)/TIME2,"??")</f>
        <v>??</v>
      </c>
      <c r="G105" s="19" t="s">
        <v>936</v>
      </c>
      <c r="H105" s="19" t="s">
        <v>8</v>
      </c>
      <c r="I105" s="347" t="s">
        <v>940</v>
      </c>
    </row>
    <row r="106" spans="1:66" s="8" customFormat="1" ht="3" customHeight="1" x14ac:dyDescent="0.2">
      <c r="A106" s="10"/>
      <c r="B106" s="45"/>
      <c r="C106" s="152"/>
      <c r="D106" s="45"/>
      <c r="E106" s="30"/>
      <c r="F106" s="30"/>
      <c r="G106" s="7"/>
      <c r="H106" s="7"/>
      <c r="I106" s="141"/>
    </row>
    <row r="107" spans="1:66" s="8" customFormat="1" ht="25.15" customHeight="1" x14ac:dyDescent="0.2">
      <c r="A107" s="10"/>
      <c r="B107" s="362" t="s">
        <v>932</v>
      </c>
      <c r="C107" s="362"/>
      <c r="D107" s="45"/>
      <c r="E107" s="30" t="s">
        <v>98</v>
      </c>
      <c r="F107" s="228" t="str">
        <f>IF(ISNUMBER(Qleach_storage_TIME1),Qleach_storage_TIME1*Frunoff/TIME1,"??")</f>
        <v>??</v>
      </c>
      <c r="G107" s="7" t="s">
        <v>21</v>
      </c>
      <c r="H107" s="7" t="s">
        <v>8</v>
      </c>
      <c r="I107" s="141" t="s">
        <v>104</v>
      </c>
    </row>
    <row r="108" spans="1:66" s="8" customFormat="1" ht="3" customHeight="1" x14ac:dyDescent="0.2">
      <c r="A108" s="10"/>
      <c r="B108" s="45"/>
      <c r="C108" s="152"/>
      <c r="D108" s="45"/>
      <c r="E108" s="30"/>
      <c r="F108" s="30"/>
      <c r="G108" s="7"/>
      <c r="H108" s="7"/>
      <c r="I108" s="141"/>
    </row>
    <row r="109" spans="1:66" s="8" customFormat="1" ht="25.15" customHeight="1" x14ac:dyDescent="0.2">
      <c r="A109" s="10"/>
      <c r="B109" s="362" t="s">
        <v>933</v>
      </c>
      <c r="C109" s="362"/>
      <c r="D109" s="45"/>
      <c r="E109" s="30" t="s">
        <v>99</v>
      </c>
      <c r="F109" s="228" t="str">
        <f>IF(AND(ISNUMBER(Qleach_storage_TIME2),ISNUMBER(TIME2)),Qleach_storage_TIME2*Frunoff/TIME2,"??")</f>
        <v>??</v>
      </c>
      <c r="G109" s="7" t="s">
        <v>21</v>
      </c>
      <c r="H109" s="7" t="s">
        <v>8</v>
      </c>
      <c r="I109" s="141" t="s">
        <v>105</v>
      </c>
    </row>
    <row r="110" spans="1:66" x14ac:dyDescent="0.2">
      <c r="A110" s="10"/>
      <c r="B110" s="17"/>
      <c r="C110" s="17"/>
      <c r="D110" s="17"/>
      <c r="E110" s="17"/>
      <c r="F110" s="17"/>
      <c r="G110" s="17"/>
      <c r="H110" s="17"/>
      <c r="I110" s="17"/>
      <c r="AT110" s="10"/>
      <c r="AU110" s="10"/>
      <c r="AV110" s="10"/>
      <c r="AW110" s="10"/>
      <c r="AX110" s="10"/>
      <c r="AY110" s="10"/>
      <c r="AZ110" s="10"/>
      <c r="BA110" s="10"/>
      <c r="BB110" s="10"/>
      <c r="BC110" s="10"/>
      <c r="BD110" s="10"/>
      <c r="BE110" s="10"/>
      <c r="BF110" s="10"/>
      <c r="BG110" s="10"/>
      <c r="BH110" s="10"/>
      <c r="BI110" s="10"/>
      <c r="BJ110" s="10"/>
      <c r="BK110" s="10"/>
      <c r="BL110" s="10"/>
      <c r="BM110" s="10"/>
      <c r="BN110" s="10"/>
    </row>
    <row r="111" spans="1:66" s="8" customFormat="1" ht="25.15" customHeight="1" x14ac:dyDescent="0.2">
      <c r="A111" s="10"/>
      <c r="B111" s="373" t="s">
        <v>88</v>
      </c>
      <c r="C111" s="373"/>
      <c r="D111" s="30"/>
      <c r="E111" s="30" t="s">
        <v>89</v>
      </c>
      <c r="F111" s="228" t="str">
        <f>IF(AND(ISNUMBER(Qleach_storage_TIME1),ISNUMBER(Vsoil)),Qleach_storage_TIME1*(1-Frunoff)/(Vsoil*RHOsoil),"??")</f>
        <v>??</v>
      </c>
      <c r="G111" s="7" t="s">
        <v>90</v>
      </c>
      <c r="H111" s="7" t="s">
        <v>8</v>
      </c>
      <c r="I111" s="141" t="s">
        <v>96</v>
      </c>
    </row>
    <row r="112" spans="1:66" s="8" customFormat="1" ht="3" customHeight="1" x14ac:dyDescent="0.2">
      <c r="A112" s="10"/>
      <c r="B112" s="45"/>
      <c r="C112" s="152"/>
      <c r="D112" s="45"/>
      <c r="E112" s="30"/>
      <c r="F112" s="30"/>
      <c r="G112" s="7"/>
      <c r="H112" s="7"/>
      <c r="I112" s="141"/>
    </row>
    <row r="113" spans="1:66" s="8" customFormat="1" ht="25.15" customHeight="1" x14ac:dyDescent="0.2">
      <c r="A113" s="10"/>
      <c r="B113" s="373" t="s">
        <v>91</v>
      </c>
      <c r="C113" s="373"/>
      <c r="D113" s="350"/>
      <c r="E113" s="30" t="s">
        <v>92</v>
      </c>
      <c r="F113" s="228" t="str">
        <f>IF(AND(ISNUMBER(Qleach_storage_TIME2),ISNUMBER(Vsoil)),Qleach_storage_TIME2*(1-Frunoff)/(Vsoil*RHOsoil),"??")</f>
        <v>??</v>
      </c>
      <c r="G113" s="7" t="s">
        <v>90</v>
      </c>
      <c r="H113" s="7" t="s">
        <v>8</v>
      </c>
      <c r="I113" s="141" t="s">
        <v>97</v>
      </c>
    </row>
    <row r="114" spans="1:66" s="8" customFormat="1" ht="3" customHeight="1" x14ac:dyDescent="0.2">
      <c r="A114" s="10"/>
      <c r="B114" s="324"/>
      <c r="C114" s="324"/>
      <c r="D114" s="324"/>
      <c r="E114" s="30"/>
      <c r="F114" s="30"/>
      <c r="G114" s="7"/>
      <c r="H114" s="7"/>
      <c r="I114" s="141"/>
    </row>
    <row r="115" spans="1:66" s="8" customFormat="1" ht="30" customHeight="1" x14ac:dyDescent="0.2">
      <c r="A115" s="10"/>
      <c r="B115" s="362" t="s">
        <v>100</v>
      </c>
      <c r="C115" s="362"/>
      <c r="D115" s="45"/>
      <c r="E115" s="30" t="s">
        <v>102</v>
      </c>
      <c r="F115" s="228" t="str">
        <f>IF(ISNUMBER(F107),F107*1000/FLOWsurfacewater,"??")</f>
        <v>??</v>
      </c>
      <c r="G115" s="7" t="s">
        <v>124</v>
      </c>
      <c r="H115" s="7" t="s">
        <v>8</v>
      </c>
      <c r="I115" s="141" t="s">
        <v>462</v>
      </c>
    </row>
    <row r="116" spans="1:66" s="8" customFormat="1" ht="5.0999999999999996" customHeight="1" x14ac:dyDescent="0.2">
      <c r="A116" s="10"/>
      <c r="B116" s="45"/>
      <c r="C116" s="152"/>
      <c r="D116" s="45"/>
      <c r="E116" s="30"/>
      <c r="F116" s="30"/>
      <c r="G116" s="7"/>
      <c r="H116" s="7"/>
      <c r="I116" s="141"/>
    </row>
    <row r="117" spans="1:66" s="8" customFormat="1" ht="30" customHeight="1" x14ac:dyDescent="0.2">
      <c r="A117" s="10"/>
      <c r="B117" s="362" t="s">
        <v>101</v>
      </c>
      <c r="C117" s="362"/>
      <c r="D117" s="45"/>
      <c r="E117" s="30" t="s">
        <v>103</v>
      </c>
      <c r="F117" s="228" t="str">
        <f>IF(ISNUMBER(F109),F109*1000/FLOWsurfacewater,"??")</f>
        <v>??</v>
      </c>
      <c r="G117" s="7" t="s">
        <v>124</v>
      </c>
      <c r="H117" s="7" t="s">
        <v>8</v>
      </c>
      <c r="I117" s="141" t="s">
        <v>463</v>
      </c>
    </row>
    <row r="118" spans="1:66" s="8" customFormat="1" x14ac:dyDescent="0.2">
      <c r="A118" s="10"/>
      <c r="B118" s="45"/>
      <c r="C118" s="152"/>
      <c r="D118" s="45"/>
      <c r="E118" s="30"/>
      <c r="F118" s="30"/>
      <c r="G118" s="7"/>
      <c r="H118" s="7"/>
      <c r="I118" s="20"/>
    </row>
    <row r="119" spans="1:66" s="8" customFormat="1" x14ac:dyDescent="0.2">
      <c r="A119" s="10"/>
      <c r="B119" s="121" t="s">
        <v>550</v>
      </c>
      <c r="C119" s="227"/>
      <c r="D119" s="227"/>
      <c r="E119" s="30"/>
      <c r="F119" s="30"/>
      <c r="G119" s="30"/>
      <c r="H119" s="7"/>
      <c r="I119" s="20"/>
      <c r="AT119" s="10"/>
      <c r="AU119" s="10"/>
      <c r="AV119" s="10"/>
      <c r="AW119" s="10"/>
      <c r="AX119" s="10"/>
      <c r="AY119" s="10"/>
      <c r="AZ119" s="10"/>
      <c r="BA119" s="10"/>
      <c r="BB119" s="10"/>
      <c r="BC119" s="10"/>
      <c r="BD119" s="10"/>
      <c r="BE119" s="10"/>
      <c r="BF119" s="10"/>
      <c r="BG119" s="10"/>
      <c r="BH119" s="10"/>
      <c r="BI119" s="10"/>
      <c r="BJ119" s="10"/>
      <c r="BK119" s="10"/>
      <c r="BL119" s="10"/>
      <c r="BM119" s="10"/>
      <c r="BN119" s="10"/>
    </row>
    <row r="120" spans="1:66" s="8" customFormat="1" ht="3" customHeight="1" x14ac:dyDescent="0.2">
      <c r="A120" s="10"/>
      <c r="B120" s="227"/>
      <c r="C120" s="227"/>
      <c r="D120" s="227"/>
      <c r="E120" s="30"/>
      <c r="F120" s="30"/>
      <c r="G120" s="30"/>
      <c r="H120" s="7"/>
      <c r="I120" s="20"/>
      <c r="AT120" s="10"/>
      <c r="AU120" s="10"/>
      <c r="AV120" s="10"/>
      <c r="AW120" s="10"/>
      <c r="AX120" s="10"/>
      <c r="AY120" s="10"/>
      <c r="AZ120" s="10"/>
      <c r="BA120" s="10"/>
      <c r="BB120" s="10"/>
      <c r="BC120" s="10"/>
      <c r="BD120" s="10"/>
      <c r="BE120" s="10"/>
      <c r="BF120" s="10"/>
      <c r="BG120" s="10"/>
      <c r="BH120" s="10"/>
      <c r="BI120" s="10"/>
      <c r="BJ120" s="10"/>
      <c r="BK120" s="10"/>
      <c r="BL120" s="10"/>
      <c r="BM120" s="10"/>
      <c r="BN120" s="10"/>
    </row>
    <row r="121" spans="1:66" s="8" customFormat="1" ht="15.4" customHeight="1" x14ac:dyDescent="0.2">
      <c r="A121" s="10"/>
      <c r="B121" s="362" t="s">
        <v>444</v>
      </c>
      <c r="C121" s="362"/>
      <c r="D121" s="362"/>
      <c r="E121" s="30" t="s">
        <v>445</v>
      </c>
      <c r="F121" s="228" t="str">
        <f>IF(AND(ISNUMBER(Elocal_soil),ISNUMBER(ksoil)),Elocal_soil*(1-Frunoff)/(DEPTHsoil*RHOsoil*ksoil),"??")</f>
        <v>??</v>
      </c>
      <c r="G121" s="7" t="s">
        <v>90</v>
      </c>
      <c r="H121" s="7" t="s">
        <v>8</v>
      </c>
      <c r="I121" s="141" t="s">
        <v>518</v>
      </c>
      <c r="AT121" s="10"/>
      <c r="AU121" s="10"/>
      <c r="AV121" s="10"/>
      <c r="AW121" s="10"/>
      <c r="AX121" s="10"/>
      <c r="AY121" s="10"/>
      <c r="AZ121" s="10"/>
      <c r="BA121" s="10"/>
      <c r="BB121" s="10"/>
      <c r="BC121" s="10"/>
      <c r="BD121" s="10"/>
      <c r="BE121" s="10"/>
      <c r="BF121" s="10"/>
      <c r="BG121" s="10"/>
      <c r="BH121" s="10"/>
      <c r="BI121" s="10"/>
      <c r="BJ121" s="10"/>
      <c r="BK121" s="10"/>
      <c r="BL121" s="10"/>
      <c r="BM121" s="10"/>
      <c r="BN121" s="10"/>
    </row>
    <row r="122" spans="1:66" s="8" customFormat="1" ht="5.0999999999999996" customHeight="1" x14ac:dyDescent="0.2">
      <c r="A122" s="10"/>
      <c r="B122" s="227"/>
      <c r="C122" s="227"/>
      <c r="D122" s="227"/>
      <c r="E122" s="30"/>
      <c r="F122" s="30"/>
      <c r="G122" s="7"/>
      <c r="H122" s="7"/>
      <c r="I122" s="141"/>
      <c r="AT122" s="10"/>
      <c r="AU122" s="10"/>
      <c r="AV122" s="10"/>
      <c r="AW122" s="10"/>
      <c r="AX122" s="10"/>
      <c r="AY122" s="10"/>
      <c r="AZ122" s="10"/>
      <c r="BA122" s="10"/>
      <c r="BB122" s="10"/>
      <c r="BC122" s="10"/>
      <c r="BD122" s="10"/>
      <c r="BE122" s="10"/>
      <c r="BF122" s="10"/>
      <c r="BG122" s="10"/>
      <c r="BH122" s="10"/>
      <c r="BI122" s="10"/>
      <c r="BJ122" s="10"/>
      <c r="BK122" s="10"/>
      <c r="BL122" s="10"/>
      <c r="BM122" s="10"/>
      <c r="BN122" s="10"/>
    </row>
    <row r="123" spans="1:66" s="8" customFormat="1" ht="15.4" customHeight="1" x14ac:dyDescent="0.2">
      <c r="A123" s="10"/>
      <c r="B123" s="362" t="s">
        <v>446</v>
      </c>
      <c r="C123" s="362"/>
      <c r="D123" s="362"/>
      <c r="E123" s="30" t="s">
        <v>447</v>
      </c>
      <c r="F123" s="228" t="str">
        <f>IF(AND(ISNUMBER(Clocal_soil_ss),ISNUMBER(Ksoil_water)),Clocal_soil_ss*RHOsoil/Ksoil_water,"??")</f>
        <v>??</v>
      </c>
      <c r="G123" s="7" t="s">
        <v>118</v>
      </c>
      <c r="H123" s="7" t="s">
        <v>8</v>
      </c>
      <c r="I123" s="141" t="s">
        <v>451</v>
      </c>
      <c r="AT123" s="10"/>
      <c r="AU123" s="10"/>
      <c r="AV123" s="10"/>
      <c r="AW123" s="10"/>
      <c r="AX123" s="10"/>
      <c r="AY123" s="10"/>
      <c r="AZ123" s="10"/>
      <c r="BA123" s="10"/>
      <c r="BB123" s="10"/>
      <c r="BC123" s="10"/>
      <c r="BD123" s="10"/>
      <c r="BE123" s="10"/>
      <c r="BF123" s="10"/>
      <c r="BG123" s="10"/>
      <c r="BH123" s="10"/>
      <c r="BI123" s="10"/>
      <c r="BJ123" s="10"/>
      <c r="BK123" s="10"/>
      <c r="BL123" s="10"/>
      <c r="BM123" s="10"/>
      <c r="BN123" s="10"/>
    </row>
    <row r="124" spans="1:66" s="8" customFormat="1" x14ac:dyDescent="0.2">
      <c r="A124" s="10"/>
      <c r="B124" s="227"/>
      <c r="C124" s="227"/>
      <c r="D124" s="227"/>
      <c r="E124" s="30"/>
      <c r="F124" s="30"/>
      <c r="G124" s="7"/>
      <c r="H124" s="7"/>
      <c r="I124" s="20"/>
      <c r="AT124" s="10"/>
      <c r="AU124" s="10"/>
      <c r="AV124" s="10"/>
      <c r="AW124" s="10"/>
      <c r="AX124" s="10"/>
      <c r="AY124" s="10"/>
      <c r="AZ124" s="10"/>
      <c r="BA124" s="10"/>
      <c r="BB124" s="10"/>
      <c r="BC124" s="10"/>
      <c r="BD124" s="10"/>
      <c r="BE124" s="10"/>
      <c r="BF124" s="10"/>
      <c r="BG124" s="10"/>
      <c r="BH124" s="10"/>
      <c r="BI124" s="10"/>
      <c r="BJ124" s="10"/>
      <c r="BK124" s="10"/>
      <c r="BL124" s="10"/>
      <c r="BM124" s="10"/>
      <c r="BN124" s="10"/>
    </row>
    <row r="125" spans="1:66" s="8" customFormat="1" x14ac:dyDescent="0.2">
      <c r="B125" s="86" t="s">
        <v>12</v>
      </c>
      <c r="C125" s="165"/>
      <c r="F125" s="87"/>
      <c r="G125" s="88"/>
      <c r="H125" s="74"/>
      <c r="I125" s="85"/>
    </row>
    <row r="126" spans="1:66" s="8" customFormat="1" ht="15" x14ac:dyDescent="0.2">
      <c r="B126" s="86"/>
      <c r="C126" s="80"/>
      <c r="G126" s="89"/>
      <c r="H126" s="74"/>
      <c r="I126" s="85"/>
    </row>
    <row r="127" spans="1:66" s="8" customFormat="1" x14ac:dyDescent="0.2">
      <c r="B127" s="307" t="s">
        <v>818</v>
      </c>
      <c r="C127" s="161"/>
      <c r="E127" s="85"/>
    </row>
    <row r="128" spans="1:66" s="8" customFormat="1" x14ac:dyDescent="0.2">
      <c r="C128" s="161"/>
      <c r="E128" s="85"/>
    </row>
    <row r="129" spans="3:5" s="8" customFormat="1" x14ac:dyDescent="0.2">
      <c r="C129" s="161"/>
      <c r="E129" s="85"/>
    </row>
    <row r="130" spans="3:5" s="8" customFormat="1" x14ac:dyDescent="0.2">
      <c r="C130" s="161"/>
      <c r="E130" s="85"/>
    </row>
    <row r="131" spans="3:5" s="8" customFormat="1" x14ac:dyDescent="0.2">
      <c r="C131" s="161"/>
      <c r="E131" s="85"/>
    </row>
    <row r="132" spans="3:5" s="8" customFormat="1" x14ac:dyDescent="0.2">
      <c r="C132" s="161"/>
      <c r="E132" s="85"/>
    </row>
    <row r="133" spans="3:5" s="8" customFormat="1" x14ac:dyDescent="0.2">
      <c r="C133" s="161"/>
      <c r="E133" s="85"/>
    </row>
    <row r="134" spans="3:5" s="8" customFormat="1" x14ac:dyDescent="0.2">
      <c r="C134" s="161"/>
      <c r="E134" s="85"/>
    </row>
    <row r="135" spans="3:5" s="8" customFormat="1" x14ac:dyDescent="0.2">
      <c r="C135" s="161"/>
      <c r="E135" s="85"/>
    </row>
    <row r="136" spans="3:5" s="8" customFormat="1" x14ac:dyDescent="0.2">
      <c r="C136" s="161"/>
      <c r="E136" s="85"/>
    </row>
    <row r="137" spans="3:5" s="8" customFormat="1" x14ac:dyDescent="0.2">
      <c r="C137" s="161"/>
      <c r="E137" s="85"/>
    </row>
    <row r="138" spans="3:5" s="8" customFormat="1" x14ac:dyDescent="0.2">
      <c r="C138" s="161"/>
      <c r="E138" s="85"/>
    </row>
    <row r="139" spans="3:5" s="8" customFormat="1" x14ac:dyDescent="0.2">
      <c r="C139" s="161"/>
      <c r="E139" s="85"/>
    </row>
    <row r="140" spans="3:5" s="8" customFormat="1" x14ac:dyDescent="0.2">
      <c r="C140" s="161"/>
      <c r="E140" s="85"/>
    </row>
    <row r="141" spans="3:5" s="8" customFormat="1" x14ac:dyDescent="0.2">
      <c r="C141" s="161"/>
      <c r="E141" s="85"/>
    </row>
    <row r="142" spans="3:5" s="8" customFormat="1" x14ac:dyDescent="0.2">
      <c r="C142" s="161"/>
      <c r="E142" s="85"/>
    </row>
    <row r="143" spans="3:5" s="8" customFormat="1" x14ac:dyDescent="0.2">
      <c r="C143" s="161"/>
      <c r="E143" s="85"/>
    </row>
    <row r="144" spans="3:5" s="8" customFormat="1" x14ac:dyDescent="0.2">
      <c r="C144" s="161"/>
      <c r="E144" s="85"/>
    </row>
    <row r="145" spans="3:5" s="8" customFormat="1" x14ac:dyDescent="0.2">
      <c r="C145" s="161"/>
      <c r="E145" s="85"/>
    </row>
    <row r="146" spans="3:5" s="8" customFormat="1" x14ac:dyDescent="0.2">
      <c r="C146" s="161"/>
      <c r="E146" s="85"/>
    </row>
    <row r="147" spans="3:5" s="8" customFormat="1" x14ac:dyDescent="0.2">
      <c r="C147" s="161"/>
      <c r="E147" s="85"/>
    </row>
    <row r="148" spans="3:5" s="8" customFormat="1" x14ac:dyDescent="0.2">
      <c r="C148" s="161"/>
      <c r="E148" s="85"/>
    </row>
    <row r="149" spans="3:5" s="8" customFormat="1" x14ac:dyDescent="0.2">
      <c r="C149" s="161"/>
      <c r="E149" s="85"/>
    </row>
    <row r="150" spans="3:5" s="8" customFormat="1" x14ac:dyDescent="0.2">
      <c r="C150" s="161"/>
      <c r="E150" s="85"/>
    </row>
    <row r="151" spans="3:5" s="8" customFormat="1" x14ac:dyDescent="0.2">
      <c r="C151" s="161"/>
      <c r="E151" s="85"/>
    </row>
    <row r="152" spans="3:5" s="8" customFormat="1" x14ac:dyDescent="0.2">
      <c r="C152" s="161"/>
      <c r="E152" s="85"/>
    </row>
    <row r="153" spans="3:5" s="8" customFormat="1" x14ac:dyDescent="0.2">
      <c r="C153" s="161"/>
      <c r="E153" s="85"/>
    </row>
    <row r="154" spans="3:5" s="8" customFormat="1" x14ac:dyDescent="0.2">
      <c r="C154" s="161"/>
      <c r="E154" s="85"/>
    </row>
    <row r="155" spans="3:5" s="8" customFormat="1" x14ac:dyDescent="0.2">
      <c r="C155" s="161"/>
      <c r="E155" s="85"/>
    </row>
    <row r="156" spans="3:5" s="8" customFormat="1" x14ac:dyDescent="0.2">
      <c r="C156" s="161"/>
      <c r="E156" s="85"/>
    </row>
    <row r="157" spans="3:5" s="8" customFormat="1" x14ac:dyDescent="0.2">
      <c r="C157" s="161"/>
      <c r="E157" s="85"/>
    </row>
    <row r="158" spans="3:5" s="8" customFormat="1" x14ac:dyDescent="0.2">
      <c r="C158" s="161"/>
      <c r="E158" s="85"/>
    </row>
    <row r="159" spans="3:5" s="8" customFormat="1" x14ac:dyDescent="0.2">
      <c r="C159" s="161"/>
      <c r="E159" s="85"/>
    </row>
    <row r="160" spans="3:5" s="8" customFormat="1" x14ac:dyDescent="0.2">
      <c r="C160" s="161"/>
      <c r="E160" s="85"/>
    </row>
    <row r="161" spans="3:5" s="8" customFormat="1" x14ac:dyDescent="0.2">
      <c r="C161" s="161"/>
      <c r="E161" s="85"/>
    </row>
    <row r="162" spans="3:5" s="8" customFormat="1" x14ac:dyDescent="0.2">
      <c r="C162" s="161"/>
      <c r="E162" s="85"/>
    </row>
    <row r="163" spans="3:5" s="8" customFormat="1" x14ac:dyDescent="0.2">
      <c r="C163" s="161"/>
      <c r="E163" s="85"/>
    </row>
    <row r="164" spans="3:5" s="8" customFormat="1" x14ac:dyDescent="0.2">
      <c r="C164" s="161"/>
      <c r="E164" s="85"/>
    </row>
    <row r="165" spans="3:5" s="8" customFormat="1" x14ac:dyDescent="0.2">
      <c r="C165" s="161"/>
      <c r="E165" s="85"/>
    </row>
    <row r="166" spans="3:5" s="8" customFormat="1" x14ac:dyDescent="0.2">
      <c r="C166" s="161"/>
      <c r="E166" s="85"/>
    </row>
    <row r="167" spans="3:5" s="8" customFormat="1" x14ac:dyDescent="0.2">
      <c r="C167" s="161"/>
      <c r="E167" s="85"/>
    </row>
    <row r="168" spans="3:5" s="8" customFormat="1" x14ac:dyDescent="0.2">
      <c r="C168" s="161"/>
      <c r="E168" s="85"/>
    </row>
    <row r="169" spans="3:5" s="8" customFormat="1" x14ac:dyDescent="0.2">
      <c r="C169" s="161"/>
      <c r="E169" s="85"/>
    </row>
    <row r="170" spans="3:5" s="8" customFormat="1" x14ac:dyDescent="0.2">
      <c r="C170" s="161"/>
      <c r="E170" s="85"/>
    </row>
    <row r="171" spans="3:5" s="8" customFormat="1" x14ac:dyDescent="0.2">
      <c r="C171" s="161"/>
      <c r="E171" s="85"/>
    </row>
    <row r="172" spans="3:5" s="8" customFormat="1" x14ac:dyDescent="0.2">
      <c r="C172" s="161"/>
      <c r="E172" s="85"/>
    </row>
    <row r="173" spans="3:5" s="8" customFormat="1" x14ac:dyDescent="0.2">
      <c r="C173" s="161"/>
      <c r="E173" s="85"/>
    </row>
    <row r="174" spans="3:5" s="8" customFormat="1" x14ac:dyDescent="0.2">
      <c r="C174" s="161"/>
      <c r="E174" s="85"/>
    </row>
    <row r="175" spans="3:5" s="8" customFormat="1" x14ac:dyDescent="0.2">
      <c r="C175" s="161"/>
      <c r="E175" s="85"/>
    </row>
    <row r="176" spans="3:5" s="8" customFormat="1" x14ac:dyDescent="0.2">
      <c r="C176" s="161"/>
      <c r="E176" s="85"/>
    </row>
    <row r="177" spans="3:5" s="8" customFormat="1" x14ac:dyDescent="0.2">
      <c r="C177" s="161"/>
      <c r="E177" s="85"/>
    </row>
    <row r="178" spans="3:5" s="8" customFormat="1" x14ac:dyDescent="0.2">
      <c r="C178" s="161"/>
      <c r="E178" s="85"/>
    </row>
    <row r="179" spans="3:5" s="8" customFormat="1" x14ac:dyDescent="0.2">
      <c r="C179" s="161"/>
      <c r="E179" s="85"/>
    </row>
    <row r="180" spans="3:5" s="8" customFormat="1" x14ac:dyDescent="0.2">
      <c r="C180" s="161"/>
      <c r="E180" s="85"/>
    </row>
  </sheetData>
  <sheetProtection algorithmName="SHA-512" hashValue="VTiYpYI6dzpUqvV4fD1/b/rgnQvKJb1l7SfrztmetD1eMb8mpxr3rZBaWuE4yZGGRffts7BEuk7bzLcZCuiHMg==" saltValue="uwRFPn+ucF/JoW8A/lXOgQ==" spinCount="100000" sheet="1" objects="1" scenarios="1" formatCells="0" formatColumns="0" formatRows="0"/>
  <mergeCells count="40">
    <mergeCell ref="B69:C69"/>
    <mergeCell ref="B53:I53"/>
    <mergeCell ref="B61:C61"/>
    <mergeCell ref="B65:C65"/>
    <mergeCell ref="B66:C66"/>
    <mergeCell ref="B67:C67"/>
    <mergeCell ref="B55:I55"/>
    <mergeCell ref="B54:K54"/>
    <mergeCell ref="B121:D121"/>
    <mergeCell ref="B123:D123"/>
    <mergeCell ref="B75:C75"/>
    <mergeCell ref="B77:C77"/>
    <mergeCell ref="B109:C109"/>
    <mergeCell ref="B115:C115"/>
    <mergeCell ref="B95:C95"/>
    <mergeCell ref="B117:C117"/>
    <mergeCell ref="B107:C107"/>
    <mergeCell ref="B91:C91"/>
    <mergeCell ref="B93:C93"/>
    <mergeCell ref="B79:I79"/>
    <mergeCell ref="B81:C81"/>
    <mergeCell ref="B103:C103"/>
    <mergeCell ref="B105:C105"/>
    <mergeCell ref="B111:C111"/>
    <mergeCell ref="B113:C113"/>
    <mergeCell ref="B5:I5"/>
    <mergeCell ref="B10:I10"/>
    <mergeCell ref="B9:I9"/>
    <mergeCell ref="B49:I49"/>
    <mergeCell ref="B41:C41"/>
    <mergeCell ref="B14:I14"/>
    <mergeCell ref="B19:I19"/>
    <mergeCell ref="B20:I20"/>
    <mergeCell ref="B21:I21"/>
    <mergeCell ref="B22:I22"/>
    <mergeCell ref="B23:I23"/>
    <mergeCell ref="B31:C31"/>
    <mergeCell ref="B43:C43"/>
    <mergeCell ref="B52:I52"/>
    <mergeCell ref="B73:C73"/>
  </mergeCells>
  <dataValidations count="3">
    <dataValidation type="list" allowBlank="1" showInputMessage="1" showErrorMessage="1" sqref="C35">
      <formula1>vapour_pressure</formula1>
    </dataValidation>
    <dataValidation type="list" allowBlank="1" showInputMessage="1" showErrorMessage="1" sqref="C33">
      <formula1>water_solubility</formula1>
    </dataValidation>
    <dataValidation type="list" allowBlank="1" showInputMessage="1" showErrorMessage="1" sqref="C29 C63">
      <formula1>LowP_process</formula1>
    </dataValidation>
  </dataValidations>
  <hyperlinks>
    <hyperlink ref="B9" location="'PT8-low pressure processes'!A__Emission_scenario_for_vacuum_pressure_and_double_vacuum___low_pressure_processes___product_application__ESD_Table_4.8__p.57" display="A) Emission scenario for vacuum pressure and double vacuum / low pressure processes - product application (ESD Table 4.8, p.57)"/>
    <hyperlink ref="B10" location="'PT8-low pressure processes'!B__Emission_scenario_for_vacuum_pressure_and_double_vacuum___low_pressure_processes___storage_and_treated_wood_prior_to_shipping___TIER_1__ESD_Table_4.9__p.58" display="B) Emission scenario for vacuum pressure and double vacuum / low pressure processes - storage and treated wood prior to shipping - TIER 1 (ESD Table 4.9, p.58)"/>
    <hyperlink ref="B9:I9" location="'PT8-vacuum_double vacuum proc'!A__Emission_scenario_for_vacuum_pressure_and_double_vacuum_low_pressure_processes_product_application" display="A) Emission scenario for vacuum pressure and double vacuum - product application (ESD Table 4.8, p.57)"/>
    <hyperlink ref="B10:I10" location="'PT8-vacuum_double vacuum proc'!B__Emission_scenario_for_vacuum_pressure_and_double_vacuum_low_pressure_processes_storage_and_treated_wood_prior_to_shipping" display="B) Emission scenario for vacuum pressure and double vacuum / low pressure processes - storage and treated wood prior to shipping (including removal processes in the receiving compartments) (ESD Table 4.9, p.58, Table 3.4, p.27 and Table 3.8, p.33/34)"/>
    <hyperlink ref="B127" location="'PT8-vacuum_double vacuum proc'!A1" display="Go to the top of the page"/>
    <hyperlink ref="B47" location="'PT8-vacuum_double vacuum proc'!A1" display="Go to the top of the pag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4"/>
  <sheetViews>
    <sheetView zoomScale="95" zoomScaleNormal="95" workbookViewId="0"/>
  </sheetViews>
  <sheetFormatPr defaultColWidth="8.75" defaultRowHeight="12.75" x14ac:dyDescent="0.2"/>
  <cols>
    <col min="1" max="1" width="1.625" style="8" customWidth="1"/>
    <col min="2" max="3" width="30.625" style="11" customWidth="1"/>
    <col min="4" max="4" width="1.625" style="11" customWidth="1"/>
    <col min="5" max="5" width="20.625" style="91" customWidth="1"/>
    <col min="6" max="6" width="15.625" style="11" customWidth="1"/>
    <col min="7" max="8" width="10.625" style="11" customWidth="1"/>
    <col min="9" max="9" width="55.625" style="11" customWidth="1"/>
    <col min="10" max="11" width="15.625" style="8" customWidth="1"/>
    <col min="12" max="60" width="8.75" style="8"/>
    <col min="61" max="16384" width="8.75" style="11"/>
  </cols>
  <sheetData>
    <row r="1" spans="1:60" x14ac:dyDescent="0.2">
      <c r="A1" s="10"/>
      <c r="B1" s="10"/>
      <c r="C1" s="10"/>
      <c r="D1" s="10"/>
      <c r="E1" s="61"/>
      <c r="F1" s="10"/>
      <c r="G1" s="10"/>
      <c r="H1" s="10"/>
      <c r="I1" s="10"/>
      <c r="J1" s="10"/>
      <c r="K1" s="10"/>
      <c r="L1" s="10"/>
    </row>
    <row r="2" spans="1:60" ht="20.25" x14ac:dyDescent="0.2">
      <c r="A2" s="10"/>
      <c r="B2" s="64" t="s">
        <v>35</v>
      </c>
      <c r="C2" s="65"/>
      <c r="D2" s="65"/>
      <c r="E2" s="66"/>
      <c r="F2" s="10"/>
      <c r="G2" s="10"/>
      <c r="H2" s="10"/>
      <c r="I2" s="10"/>
      <c r="J2" s="10"/>
      <c r="K2" s="10"/>
      <c r="L2" s="10"/>
    </row>
    <row r="3" spans="1:60" x14ac:dyDescent="0.2">
      <c r="A3" s="10"/>
      <c r="B3" s="67"/>
      <c r="C3" s="67"/>
      <c r="D3" s="67"/>
      <c r="E3" s="68"/>
      <c r="F3" s="10"/>
      <c r="G3" s="10"/>
      <c r="H3" s="10"/>
      <c r="I3" s="10"/>
      <c r="J3" s="10"/>
      <c r="K3" s="10"/>
      <c r="L3" s="10"/>
    </row>
    <row r="4" spans="1:60" ht="15" x14ac:dyDescent="0.2">
      <c r="A4" s="10"/>
      <c r="B4" s="69"/>
      <c r="C4" s="69"/>
      <c r="D4" s="69"/>
      <c r="E4" s="70"/>
      <c r="F4" s="10"/>
      <c r="G4" s="10"/>
      <c r="H4" s="10"/>
      <c r="I4" s="10"/>
      <c r="J4" s="10"/>
      <c r="K4" s="10"/>
      <c r="L4" s="10"/>
    </row>
    <row r="5" spans="1:60" ht="18" x14ac:dyDescent="0.2">
      <c r="A5" s="10"/>
      <c r="B5" s="55" t="s">
        <v>151</v>
      </c>
      <c r="C5" s="5"/>
      <c r="D5" s="5"/>
      <c r="E5" s="21"/>
      <c r="F5" s="71"/>
      <c r="G5" s="71"/>
      <c r="H5" s="71"/>
      <c r="I5" s="72"/>
      <c r="J5" s="10"/>
      <c r="K5" s="10"/>
      <c r="L5" s="10"/>
    </row>
    <row r="6" spans="1:60" s="75" customFormat="1" x14ac:dyDescent="0.2">
      <c r="A6" s="73"/>
      <c r="B6" s="33"/>
      <c r="C6" s="33"/>
      <c r="D6" s="33"/>
      <c r="E6" s="40"/>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s="8" customFormat="1" ht="30" customHeight="1" x14ac:dyDescent="0.2">
      <c r="B7" s="375" t="s">
        <v>743</v>
      </c>
      <c r="C7" s="375"/>
      <c r="D7" s="375"/>
      <c r="E7" s="375"/>
      <c r="F7" s="375"/>
      <c r="G7" s="375"/>
      <c r="H7" s="375"/>
      <c r="I7" s="375"/>
      <c r="J7" s="42"/>
      <c r="K7" s="42"/>
      <c r="L7" s="42"/>
    </row>
    <row r="8" spans="1:60" s="8" customFormat="1" ht="14.25" x14ac:dyDescent="0.2">
      <c r="B8" s="295"/>
      <c r="C8" s="295"/>
      <c r="D8" s="295"/>
      <c r="E8" s="295"/>
      <c r="F8" s="295"/>
      <c r="G8" s="295"/>
      <c r="H8" s="295"/>
      <c r="I8" s="295"/>
      <c r="J8" s="42"/>
      <c r="K8" s="42"/>
      <c r="L8" s="42"/>
    </row>
    <row r="9" spans="1:60" s="75" customFormat="1" ht="14.25" x14ac:dyDescent="0.2">
      <c r="A9" s="73"/>
      <c r="B9" s="56" t="s">
        <v>493</v>
      </c>
      <c r="C9" s="57"/>
      <c r="D9" s="57"/>
      <c r="E9" s="58"/>
      <c r="F9" s="76"/>
      <c r="G9" s="76"/>
      <c r="H9" s="76"/>
      <c r="I9" s="76"/>
      <c r="J9" s="73"/>
      <c r="K9" s="73"/>
      <c r="L9" s="73"/>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s="8" customFormat="1" ht="30.75" customHeight="1" x14ac:dyDescent="0.2">
      <c r="B10" s="372" t="s">
        <v>301</v>
      </c>
      <c r="C10" s="372"/>
      <c r="D10" s="372"/>
      <c r="E10" s="372"/>
      <c r="F10" s="372"/>
      <c r="G10" s="372"/>
      <c r="H10" s="372"/>
      <c r="I10" s="372"/>
      <c r="J10" s="42"/>
      <c r="K10" s="42"/>
      <c r="L10" s="42"/>
    </row>
    <row r="11" spans="1:60" s="79" customFormat="1" x14ac:dyDescent="0.2">
      <c r="B11" s="73"/>
      <c r="C11" s="109"/>
      <c r="G11" s="89"/>
      <c r="H11" s="74"/>
      <c r="I11" s="108"/>
    </row>
    <row r="12" spans="1:60" s="8" customFormat="1" ht="31.5" customHeight="1" x14ac:dyDescent="0.2">
      <c r="B12" s="374" t="s">
        <v>556</v>
      </c>
      <c r="C12" s="374"/>
      <c r="D12" s="374"/>
      <c r="E12" s="374"/>
      <c r="F12" s="374"/>
      <c r="G12" s="374"/>
      <c r="H12" s="374"/>
      <c r="I12" s="374"/>
    </row>
    <row r="13" spans="1:60" s="8" customFormat="1" ht="15" x14ac:dyDescent="0.2">
      <c r="B13" s="90"/>
      <c r="C13" s="80"/>
      <c r="G13" s="89"/>
      <c r="H13" s="74"/>
      <c r="I13" s="85"/>
    </row>
    <row r="14" spans="1:60" x14ac:dyDescent="0.2">
      <c r="A14" s="10"/>
      <c r="B14" s="82" t="s">
        <v>19</v>
      </c>
      <c r="C14" s="82"/>
      <c r="D14" s="82"/>
      <c r="E14" s="77"/>
      <c r="F14" s="77"/>
      <c r="G14" s="77"/>
      <c r="H14" s="77"/>
      <c r="I14" s="83"/>
      <c r="AS14" s="11"/>
      <c r="AT14" s="11"/>
      <c r="AU14" s="11"/>
      <c r="AV14" s="11"/>
      <c r="AW14" s="11"/>
      <c r="AX14" s="11"/>
      <c r="AY14" s="11"/>
      <c r="AZ14" s="11"/>
      <c r="BA14" s="11"/>
      <c r="BB14" s="11"/>
      <c r="BC14" s="11"/>
      <c r="BD14" s="11"/>
      <c r="BE14" s="11"/>
      <c r="BF14" s="11"/>
      <c r="BG14" s="11"/>
      <c r="BH14" s="11"/>
    </row>
    <row r="15" spans="1:60" s="8" customFormat="1" ht="15" customHeight="1" x14ac:dyDescent="0.2">
      <c r="A15" s="10"/>
      <c r="B15" s="74" t="s">
        <v>557</v>
      </c>
      <c r="C15" s="74"/>
      <c r="D15" s="74"/>
      <c r="E15" s="89"/>
      <c r="F15" s="74"/>
      <c r="G15" s="74"/>
      <c r="H15" s="74"/>
      <c r="I15" s="74"/>
    </row>
    <row r="16" spans="1:60" s="8" customFormat="1" x14ac:dyDescent="0.2">
      <c r="A16" s="10"/>
      <c r="B16" s="376" t="s">
        <v>190</v>
      </c>
      <c r="C16" s="376"/>
      <c r="D16" s="376"/>
      <c r="E16" s="376"/>
      <c r="F16" s="376"/>
      <c r="G16" s="376"/>
      <c r="H16" s="376"/>
      <c r="I16" s="376"/>
    </row>
    <row r="17" spans="1:60" s="8" customFormat="1" ht="15" customHeight="1" x14ac:dyDescent="0.2">
      <c r="A17" s="10"/>
      <c r="B17" s="74" t="s">
        <v>191</v>
      </c>
      <c r="C17" s="74"/>
      <c r="D17" s="74"/>
      <c r="E17" s="74"/>
      <c r="F17" s="74"/>
      <c r="G17" s="74"/>
      <c r="H17" s="74"/>
      <c r="I17" s="74"/>
      <c r="J17" s="10"/>
      <c r="K17" s="10"/>
      <c r="L17" s="10"/>
      <c r="M17" s="10"/>
      <c r="N17" s="10"/>
      <c r="O17" s="10"/>
      <c r="P17" s="10"/>
      <c r="Q17" s="10"/>
    </row>
    <row r="18" spans="1:60" s="8" customFormat="1" ht="3" customHeight="1" x14ac:dyDescent="0.2">
      <c r="A18" s="10"/>
      <c r="D18" s="31"/>
      <c r="E18" s="32"/>
      <c r="F18" s="84"/>
      <c r="G18" s="84"/>
      <c r="H18" s="84"/>
      <c r="I18" s="10"/>
      <c r="J18" s="10"/>
      <c r="K18" s="10"/>
      <c r="L18" s="10"/>
    </row>
    <row r="19" spans="1:60" ht="15" x14ac:dyDescent="0.2">
      <c r="A19" s="10"/>
      <c r="B19" s="4" t="s">
        <v>0</v>
      </c>
      <c r="C19" s="4"/>
      <c r="D19" s="4"/>
      <c r="E19" s="12"/>
      <c r="F19" s="12"/>
      <c r="G19" s="12"/>
      <c r="H19" s="12"/>
      <c r="I19" s="13"/>
      <c r="AS19" s="11"/>
      <c r="AT19" s="11"/>
      <c r="AU19" s="11"/>
      <c r="AV19" s="11"/>
      <c r="AW19" s="11"/>
      <c r="AX19" s="11"/>
      <c r="AY19" s="11"/>
      <c r="AZ19" s="11"/>
      <c r="BA19" s="11"/>
      <c r="BB19" s="11"/>
      <c r="BC19" s="11"/>
      <c r="BD19" s="11"/>
      <c r="BE19" s="11"/>
      <c r="BF19" s="11"/>
      <c r="BG19" s="11"/>
      <c r="BH19" s="11"/>
    </row>
    <row r="20" spans="1:60" x14ac:dyDescent="0.2">
      <c r="A20" s="10"/>
      <c r="B20" s="6"/>
      <c r="C20" s="6"/>
      <c r="D20" s="6"/>
      <c r="E20" s="6"/>
      <c r="F20" s="6"/>
      <c r="G20" s="6"/>
      <c r="H20" s="6"/>
      <c r="I20" s="22"/>
      <c r="AS20" s="11"/>
      <c r="AT20" s="11"/>
      <c r="AU20" s="11"/>
      <c r="AV20" s="11"/>
      <c r="AW20" s="11"/>
      <c r="AX20" s="11"/>
      <c r="AY20" s="11"/>
      <c r="AZ20" s="11"/>
      <c r="BA20" s="11"/>
      <c r="BB20" s="11"/>
      <c r="BC20" s="11"/>
      <c r="BD20" s="11"/>
      <c r="BE20" s="11"/>
      <c r="BF20" s="11"/>
      <c r="BG20" s="11"/>
      <c r="BH20" s="11"/>
    </row>
    <row r="21" spans="1:60" ht="15" x14ac:dyDescent="0.2">
      <c r="A21" s="10"/>
      <c r="B21" s="14" t="s">
        <v>2</v>
      </c>
      <c r="C21" s="14"/>
      <c r="D21" s="14"/>
      <c r="E21" s="15" t="s">
        <v>4</v>
      </c>
      <c r="F21" s="16" t="s">
        <v>7</v>
      </c>
      <c r="G21" s="16" t="s">
        <v>3</v>
      </c>
      <c r="H21" s="16" t="s">
        <v>11</v>
      </c>
      <c r="I21" s="15" t="s">
        <v>34</v>
      </c>
      <c r="AS21" s="11"/>
      <c r="AT21" s="11"/>
      <c r="AU21" s="11"/>
      <c r="AV21" s="11"/>
      <c r="AW21" s="11"/>
      <c r="AX21" s="11"/>
      <c r="AY21" s="11"/>
      <c r="AZ21" s="11"/>
      <c r="BA21" s="11"/>
      <c r="BB21" s="11"/>
      <c r="BC21" s="11"/>
      <c r="BD21" s="11"/>
      <c r="BE21" s="11"/>
      <c r="BF21" s="11"/>
      <c r="BG21" s="11"/>
      <c r="BH21" s="11"/>
    </row>
    <row r="22" spans="1:60" x14ac:dyDescent="0.2">
      <c r="A22" s="10"/>
      <c r="B22" s="168"/>
      <c r="C22" s="14"/>
      <c r="D22" s="14"/>
      <c r="E22" s="15"/>
      <c r="F22" s="16"/>
      <c r="G22" s="16"/>
      <c r="H22" s="16"/>
      <c r="I22" s="15"/>
      <c r="AS22" s="11"/>
      <c r="AT22" s="11"/>
      <c r="AU22" s="11"/>
      <c r="AV22" s="11"/>
      <c r="AW22" s="11"/>
      <c r="AX22" s="11"/>
      <c r="AY22" s="11"/>
      <c r="AZ22" s="11"/>
      <c r="BA22" s="11"/>
      <c r="BB22" s="11"/>
      <c r="BC22" s="11"/>
      <c r="BD22" s="11"/>
      <c r="BE22" s="11"/>
      <c r="BF22" s="11"/>
      <c r="BG22" s="11"/>
      <c r="BH22" s="11"/>
    </row>
    <row r="23" spans="1:60" x14ac:dyDescent="0.2">
      <c r="A23" s="10"/>
      <c r="B23" s="362" t="s">
        <v>152</v>
      </c>
      <c r="C23" s="362"/>
      <c r="D23" s="14"/>
      <c r="E23" s="15"/>
      <c r="F23" s="16"/>
      <c r="G23" s="16"/>
      <c r="H23" s="16"/>
      <c r="I23" s="15"/>
      <c r="AS23" s="11"/>
      <c r="AT23" s="11"/>
      <c r="AU23" s="11"/>
      <c r="AV23" s="11"/>
      <c r="AW23" s="11"/>
      <c r="AX23" s="11"/>
      <c r="AY23" s="11"/>
      <c r="AZ23" s="11"/>
      <c r="BA23" s="11"/>
      <c r="BB23" s="11"/>
      <c r="BC23" s="11"/>
      <c r="BD23" s="11"/>
      <c r="BE23" s="11"/>
      <c r="BF23" s="11"/>
      <c r="BG23" s="11"/>
      <c r="BH23" s="11"/>
    </row>
    <row r="24" spans="1:60" ht="15" x14ac:dyDescent="0.2">
      <c r="A24" s="10"/>
      <c r="B24" s="111"/>
      <c r="C24" s="112" t="s">
        <v>174</v>
      </c>
      <c r="D24" s="14"/>
      <c r="E24" s="30" t="s">
        <v>153</v>
      </c>
      <c r="F24" s="272">
        <v>125</v>
      </c>
      <c r="G24" s="7" t="s">
        <v>29</v>
      </c>
      <c r="H24" s="7" t="s">
        <v>13</v>
      </c>
      <c r="I24" s="15"/>
      <c r="AS24" s="11"/>
      <c r="AT24" s="11"/>
      <c r="AU24" s="11"/>
      <c r="AV24" s="11"/>
      <c r="AW24" s="11"/>
      <c r="AX24" s="11"/>
      <c r="AY24" s="11"/>
      <c r="AZ24" s="11"/>
      <c r="BA24" s="11"/>
      <c r="BB24" s="11"/>
      <c r="BC24" s="11"/>
      <c r="BD24" s="11"/>
      <c r="BE24" s="11"/>
      <c r="BF24" s="11"/>
      <c r="BG24" s="11"/>
      <c r="BH24" s="11"/>
    </row>
    <row r="25" spans="1:60" ht="15" x14ac:dyDescent="0.2">
      <c r="A25" s="10"/>
      <c r="B25" s="168"/>
      <c r="C25" s="119" t="s">
        <v>175</v>
      </c>
      <c r="D25" s="14"/>
      <c r="E25" s="30" t="s">
        <v>172</v>
      </c>
      <c r="F25" s="272">
        <v>2</v>
      </c>
      <c r="G25" s="7" t="s">
        <v>29</v>
      </c>
      <c r="H25" s="7" t="s">
        <v>13</v>
      </c>
      <c r="I25" s="15"/>
      <c r="AS25" s="11"/>
      <c r="AT25" s="11"/>
      <c r="AU25" s="11"/>
      <c r="AV25" s="11"/>
      <c r="AW25" s="11"/>
      <c r="AX25" s="11"/>
      <c r="AY25" s="11"/>
      <c r="AZ25" s="11"/>
      <c r="BA25" s="11"/>
      <c r="BB25" s="11"/>
      <c r="BC25" s="11"/>
      <c r="BD25" s="11"/>
      <c r="BE25" s="11"/>
      <c r="BF25" s="11"/>
      <c r="BG25" s="11"/>
      <c r="BH25" s="11"/>
    </row>
    <row r="26" spans="1:60" ht="15" x14ac:dyDescent="0.2">
      <c r="A26" s="10"/>
      <c r="B26" s="168"/>
      <c r="C26" s="120" t="s">
        <v>176</v>
      </c>
      <c r="D26" s="14"/>
      <c r="E26" s="30" t="s">
        <v>173</v>
      </c>
      <c r="F26" s="272">
        <v>10</v>
      </c>
      <c r="G26" s="7" t="s">
        <v>29</v>
      </c>
      <c r="H26" s="7" t="s">
        <v>13</v>
      </c>
      <c r="I26" s="15"/>
      <c r="AS26" s="11"/>
      <c r="AT26" s="11"/>
      <c r="AU26" s="11"/>
      <c r="AV26" s="11"/>
      <c r="AW26" s="11"/>
      <c r="AX26" s="11"/>
      <c r="AY26" s="11"/>
      <c r="AZ26" s="11"/>
      <c r="BA26" s="11"/>
      <c r="BB26" s="11"/>
      <c r="BC26" s="11"/>
      <c r="BD26" s="11"/>
      <c r="BE26" s="11"/>
      <c r="BF26" s="11"/>
      <c r="BG26" s="11"/>
      <c r="BH26" s="11"/>
    </row>
    <row r="27" spans="1:60" ht="5.0999999999999996" customHeight="1" x14ac:dyDescent="0.2">
      <c r="A27" s="10"/>
      <c r="B27" s="168"/>
      <c r="C27" s="14"/>
      <c r="D27" s="14"/>
      <c r="E27" s="15"/>
      <c r="F27" s="275"/>
      <c r="G27" s="7"/>
      <c r="H27" s="7"/>
      <c r="I27" s="15"/>
      <c r="AS27" s="11"/>
      <c r="AT27" s="11"/>
      <c r="AU27" s="11"/>
      <c r="AV27" s="11"/>
      <c r="AW27" s="11"/>
      <c r="AX27" s="11"/>
      <c r="AY27" s="11"/>
      <c r="AZ27" s="11"/>
      <c r="BA27" s="11"/>
      <c r="BB27" s="11"/>
      <c r="BC27" s="11"/>
      <c r="BD27" s="11"/>
      <c r="BE27" s="11"/>
      <c r="BF27" s="11"/>
      <c r="BG27" s="11"/>
      <c r="BH27" s="11"/>
    </row>
    <row r="28" spans="1:60" s="8" customFormat="1" ht="15" x14ac:dyDescent="0.2">
      <c r="B28" s="362" t="s">
        <v>154</v>
      </c>
      <c r="C28" s="362"/>
      <c r="D28" s="168"/>
      <c r="E28" s="30" t="s">
        <v>155</v>
      </c>
      <c r="F28" s="274"/>
      <c r="G28" s="7" t="s">
        <v>156</v>
      </c>
      <c r="H28" s="7" t="s">
        <v>6</v>
      </c>
      <c r="I28" s="22"/>
    </row>
    <row r="29" spans="1:60" s="8" customFormat="1" ht="5.0999999999999996" customHeight="1" x14ac:dyDescent="0.2">
      <c r="B29" s="168"/>
      <c r="C29" s="168"/>
      <c r="D29" s="168"/>
      <c r="E29" s="30"/>
      <c r="F29" s="273"/>
      <c r="G29" s="7"/>
      <c r="H29" s="7"/>
      <c r="I29" s="7"/>
    </row>
    <row r="30" spans="1:60" s="8" customFormat="1" ht="14.25" x14ac:dyDescent="0.2">
      <c r="B30" s="362" t="s">
        <v>157</v>
      </c>
      <c r="C30" s="362"/>
      <c r="D30" s="34"/>
      <c r="E30" s="168" t="s">
        <v>158</v>
      </c>
      <c r="F30" s="274"/>
      <c r="G30" s="7" t="s">
        <v>5</v>
      </c>
      <c r="H30" s="7" t="s">
        <v>6</v>
      </c>
      <c r="I30" s="34"/>
    </row>
    <row r="31" spans="1:60" s="8" customFormat="1" ht="5.0999999999999996" customHeight="1" x14ac:dyDescent="0.2">
      <c r="B31" s="362"/>
      <c r="C31" s="362"/>
      <c r="D31" s="34"/>
      <c r="E31" s="22"/>
      <c r="F31" s="273"/>
      <c r="G31" s="19"/>
      <c r="H31" s="7"/>
      <c r="I31" s="34"/>
    </row>
    <row r="32" spans="1:60" s="8" customFormat="1" ht="15" x14ac:dyDescent="0.2">
      <c r="B32" s="362" t="s">
        <v>159</v>
      </c>
      <c r="C32" s="362"/>
      <c r="D32" s="34"/>
      <c r="E32" s="22" t="s">
        <v>160</v>
      </c>
      <c r="F32" s="274"/>
      <c r="G32" s="19" t="s">
        <v>32</v>
      </c>
      <c r="H32" s="7" t="s">
        <v>6</v>
      </c>
      <c r="I32" s="92"/>
    </row>
    <row r="33" spans="1:60" s="8" customFormat="1" ht="5.0999999999999996" customHeight="1" thickBot="1" x14ac:dyDescent="0.25">
      <c r="B33" s="168"/>
      <c r="C33" s="168"/>
      <c r="D33" s="34"/>
      <c r="E33" s="22"/>
      <c r="F33" s="7"/>
      <c r="G33" s="19"/>
      <c r="H33" s="7"/>
      <c r="I33" s="34"/>
    </row>
    <row r="34" spans="1:60" s="8" customFormat="1" ht="33" customHeight="1" thickTop="1" thickBot="1" x14ac:dyDescent="0.25">
      <c r="B34" s="30" t="s">
        <v>188</v>
      </c>
      <c r="C34" s="313" t="s">
        <v>162</v>
      </c>
      <c r="D34" s="34"/>
      <c r="E34" s="22" t="s">
        <v>189</v>
      </c>
      <c r="F34" s="23" t="str">
        <f>INDEX('Pick-lists &amp; Defaults'!C48:C50,MATCH(C34,prof_amateur,0))</f>
        <v>??</v>
      </c>
      <c r="G34" s="7" t="s">
        <v>5</v>
      </c>
      <c r="H34" s="7" t="s">
        <v>20</v>
      </c>
      <c r="I34" s="34" t="s">
        <v>161</v>
      </c>
    </row>
    <row r="35" spans="1:60" s="8" customFormat="1" ht="5.0999999999999996" customHeight="1" thickTop="1" x14ac:dyDescent="0.2">
      <c r="B35" s="168"/>
      <c r="C35" s="168"/>
      <c r="D35" s="34"/>
      <c r="E35" s="22"/>
      <c r="F35" s="7"/>
      <c r="G35" s="19"/>
      <c r="H35" s="7"/>
      <c r="I35" s="34"/>
    </row>
    <row r="36" spans="1:60" s="8" customFormat="1" x14ac:dyDescent="0.2">
      <c r="B36" s="168" t="s">
        <v>168</v>
      </c>
      <c r="C36" s="168"/>
      <c r="D36" s="34"/>
      <c r="E36" s="34"/>
      <c r="F36" s="34"/>
      <c r="G36" s="34"/>
      <c r="H36" s="34"/>
      <c r="I36" s="34"/>
    </row>
    <row r="37" spans="1:60" s="8" customFormat="1" ht="15" x14ac:dyDescent="0.2">
      <c r="B37" s="110"/>
      <c r="C37" s="119" t="s">
        <v>174</v>
      </c>
      <c r="D37" s="34"/>
      <c r="E37" s="22" t="s">
        <v>23</v>
      </c>
      <c r="F37" s="273">
        <v>13</v>
      </c>
      <c r="G37" s="7" t="s">
        <v>24</v>
      </c>
      <c r="H37" s="7" t="s">
        <v>13</v>
      </c>
      <c r="I37" s="107"/>
    </row>
    <row r="38" spans="1:60" s="8" customFormat="1" ht="15" x14ac:dyDescent="0.2">
      <c r="B38" s="168"/>
      <c r="C38" s="120" t="s">
        <v>175</v>
      </c>
      <c r="D38" s="34"/>
      <c r="E38" s="22" t="s">
        <v>23</v>
      </c>
      <c r="F38" s="273">
        <v>0.25</v>
      </c>
      <c r="G38" s="7" t="s">
        <v>24</v>
      </c>
      <c r="H38" s="7" t="s">
        <v>13</v>
      </c>
      <c r="I38" s="107"/>
    </row>
    <row r="39" spans="1:60" s="8" customFormat="1" ht="5.0999999999999996" customHeight="1" x14ac:dyDescent="0.2">
      <c r="B39" s="168"/>
      <c r="C39" s="168"/>
      <c r="D39" s="34"/>
      <c r="E39" s="22"/>
      <c r="F39" s="273"/>
      <c r="G39" s="19"/>
      <c r="H39" s="7"/>
      <c r="I39" s="34"/>
    </row>
    <row r="40" spans="1:60" s="8" customFormat="1" ht="15" x14ac:dyDescent="0.2">
      <c r="B40" s="168" t="s">
        <v>25</v>
      </c>
      <c r="C40" s="168"/>
      <c r="D40" s="34"/>
      <c r="E40" s="22" t="s">
        <v>30</v>
      </c>
      <c r="F40" s="273">
        <v>1700</v>
      </c>
      <c r="G40" s="19" t="s">
        <v>169</v>
      </c>
      <c r="H40" s="7" t="s">
        <v>13</v>
      </c>
      <c r="I40" s="34"/>
    </row>
    <row r="41" spans="1:60" s="8" customFormat="1" ht="5.0999999999999996" customHeight="1" x14ac:dyDescent="0.2">
      <c r="B41" s="168"/>
      <c r="C41" s="168"/>
      <c r="D41" s="34"/>
      <c r="E41" s="22"/>
      <c r="F41" s="273"/>
      <c r="G41" s="19"/>
      <c r="H41" s="7"/>
      <c r="I41" s="34"/>
    </row>
    <row r="42" spans="1:60" s="8" customFormat="1" ht="15" x14ac:dyDescent="0.2">
      <c r="B42" s="168" t="s">
        <v>177</v>
      </c>
      <c r="C42" s="168"/>
      <c r="D42" s="34"/>
      <c r="E42" s="22" t="s">
        <v>178</v>
      </c>
      <c r="F42" s="273">
        <v>1000</v>
      </c>
      <c r="G42" s="7" t="s">
        <v>24</v>
      </c>
      <c r="H42" s="7" t="s">
        <v>13</v>
      </c>
      <c r="I42" s="34"/>
    </row>
    <row r="43" spans="1:60" s="8" customFormat="1" x14ac:dyDescent="0.2">
      <c r="B43" s="168"/>
      <c r="C43" s="168"/>
      <c r="D43" s="34"/>
      <c r="E43" s="22"/>
      <c r="F43" s="7"/>
      <c r="G43" s="19"/>
      <c r="H43" s="7"/>
      <c r="I43" s="34"/>
    </row>
    <row r="44" spans="1:60" ht="15" x14ac:dyDescent="0.2">
      <c r="A44" s="10"/>
      <c r="B44" s="4" t="s">
        <v>1</v>
      </c>
      <c r="C44" s="4"/>
      <c r="D44" s="4"/>
      <c r="E44" s="4"/>
      <c r="F44" s="12"/>
      <c r="G44" s="12"/>
      <c r="H44" s="12"/>
      <c r="I44" s="12"/>
      <c r="AT44" s="11"/>
      <c r="AU44" s="11"/>
      <c r="AV44" s="11"/>
      <c r="AW44" s="11"/>
      <c r="AX44" s="11"/>
      <c r="AY44" s="11"/>
      <c r="AZ44" s="11"/>
      <c r="BA44" s="11"/>
      <c r="BB44" s="11"/>
      <c r="BC44" s="11"/>
      <c r="BD44" s="11"/>
      <c r="BE44" s="11"/>
      <c r="BF44" s="11"/>
      <c r="BG44" s="11"/>
      <c r="BH44" s="11"/>
    </row>
    <row r="45" spans="1:60" x14ac:dyDescent="0.2">
      <c r="A45" s="10"/>
      <c r="B45" s="6"/>
      <c r="C45" s="6"/>
      <c r="D45" s="6"/>
      <c r="E45" s="6"/>
      <c r="F45" s="6"/>
      <c r="G45" s="6"/>
      <c r="H45" s="6"/>
      <c r="I45" s="6"/>
      <c r="AT45" s="11"/>
      <c r="AU45" s="11"/>
      <c r="AV45" s="11"/>
      <c r="AW45" s="11"/>
      <c r="AX45" s="11"/>
      <c r="AY45" s="11"/>
      <c r="AZ45" s="11"/>
      <c r="BA45" s="11"/>
      <c r="BB45" s="11"/>
      <c r="BC45" s="11"/>
      <c r="BD45" s="11"/>
      <c r="BE45" s="11"/>
      <c r="BF45" s="11"/>
      <c r="BG45" s="11"/>
      <c r="BH45" s="11"/>
    </row>
    <row r="46" spans="1:60" ht="15" x14ac:dyDescent="0.2">
      <c r="A46" s="10"/>
      <c r="B46" s="14" t="s">
        <v>2</v>
      </c>
      <c r="C46" s="14"/>
      <c r="D46" s="14"/>
      <c r="E46" s="15" t="s">
        <v>4</v>
      </c>
      <c r="F46" s="16" t="s">
        <v>7</v>
      </c>
      <c r="G46" s="16" t="s">
        <v>3</v>
      </c>
      <c r="H46" s="16" t="s">
        <v>11</v>
      </c>
      <c r="I46" s="15" t="s">
        <v>34</v>
      </c>
      <c r="AT46" s="11"/>
      <c r="AU46" s="11"/>
      <c r="AV46" s="11"/>
      <c r="AW46" s="11"/>
      <c r="AX46" s="11"/>
      <c r="AY46" s="11"/>
      <c r="AZ46" s="11"/>
      <c r="BA46" s="11"/>
      <c r="BB46" s="11"/>
      <c r="BC46" s="11"/>
      <c r="BD46" s="11"/>
      <c r="BE46" s="11"/>
      <c r="BF46" s="11"/>
      <c r="BG46" s="11"/>
      <c r="BH46" s="11"/>
    </row>
    <row r="47" spans="1:60" x14ac:dyDescent="0.2">
      <c r="A47" s="10"/>
      <c r="B47" s="14"/>
      <c r="C47" s="163"/>
      <c r="D47" s="14"/>
      <c r="E47" s="15"/>
      <c r="F47" s="16"/>
      <c r="G47" s="16"/>
      <c r="H47" s="16"/>
      <c r="I47" s="15"/>
      <c r="AT47" s="11"/>
      <c r="AU47" s="11"/>
      <c r="AV47" s="11"/>
      <c r="AW47" s="11"/>
      <c r="AX47" s="11"/>
      <c r="AY47" s="11"/>
      <c r="AZ47" s="11"/>
      <c r="BA47" s="11"/>
      <c r="BB47" s="11"/>
      <c r="BC47" s="11"/>
      <c r="BD47" s="11"/>
      <c r="BE47" s="11"/>
      <c r="BF47" s="11"/>
      <c r="BG47" s="11"/>
      <c r="BH47" s="11"/>
    </row>
    <row r="48" spans="1:60" x14ac:dyDescent="0.2">
      <c r="A48" s="10"/>
      <c r="B48" s="122" t="s">
        <v>174</v>
      </c>
      <c r="C48" s="123"/>
      <c r="D48" s="123"/>
      <c r="E48" s="123"/>
      <c r="F48" s="123"/>
      <c r="G48" s="123"/>
      <c r="H48" s="123"/>
      <c r="I48" s="124"/>
      <c r="AT48" s="11"/>
      <c r="AU48" s="11"/>
      <c r="AV48" s="11"/>
      <c r="AW48" s="11"/>
      <c r="AX48" s="11"/>
      <c r="AY48" s="11"/>
      <c r="AZ48" s="11"/>
      <c r="BA48" s="11"/>
      <c r="BB48" s="11"/>
      <c r="BC48" s="11"/>
      <c r="BD48" s="11"/>
      <c r="BE48" s="11"/>
      <c r="BF48" s="11"/>
      <c r="BG48" s="11"/>
      <c r="BH48" s="11"/>
    </row>
    <row r="49" spans="1:60" x14ac:dyDescent="0.2">
      <c r="A49" s="10"/>
      <c r="B49" s="121"/>
      <c r="C49" s="17"/>
      <c r="D49" s="17"/>
      <c r="E49" s="17"/>
      <c r="F49" s="17"/>
      <c r="G49" s="17"/>
      <c r="H49" s="17"/>
      <c r="I49" s="22"/>
      <c r="AT49" s="11"/>
      <c r="AU49" s="11"/>
      <c r="AV49" s="11"/>
      <c r="AW49" s="11"/>
      <c r="AX49" s="11"/>
      <c r="AY49" s="11"/>
      <c r="AZ49" s="11"/>
      <c r="BA49" s="11"/>
      <c r="BB49" s="11"/>
      <c r="BC49" s="11"/>
      <c r="BD49" s="11"/>
      <c r="BE49" s="11"/>
      <c r="BF49" s="11"/>
      <c r="BG49" s="11"/>
      <c r="BH49" s="11"/>
    </row>
    <row r="50" spans="1:60" s="8" customFormat="1" ht="33" customHeight="1" x14ac:dyDescent="0.2">
      <c r="A50" s="10"/>
      <c r="B50" s="362" t="s">
        <v>170</v>
      </c>
      <c r="C50" s="362"/>
      <c r="D50" s="30"/>
      <c r="E50" s="30" t="s">
        <v>179</v>
      </c>
      <c r="F50" s="228" t="str">
        <f>IF(AND(ISNUMBER(Qapplic_product),ISNUMBER(fai),ISNUMBER(RHOproduct),ISNUMBER(Fbrush)),AREAhouse*Qapplic_product*fai*RHOproduct*Fbrush*0.001,"??")</f>
        <v>??</v>
      </c>
      <c r="G50" s="7" t="s">
        <v>21</v>
      </c>
      <c r="H50" s="7" t="s">
        <v>8</v>
      </c>
      <c r="I50" s="141" t="s">
        <v>183</v>
      </c>
    </row>
    <row r="51" spans="1:60" s="8" customFormat="1" ht="5.0999999999999996" customHeight="1" x14ac:dyDescent="0.2">
      <c r="A51" s="10"/>
      <c r="B51" s="168"/>
      <c r="C51" s="168"/>
      <c r="D51" s="168"/>
      <c r="E51" s="30"/>
      <c r="F51" s="30"/>
      <c r="G51" s="7"/>
      <c r="H51" s="7"/>
      <c r="I51" s="141"/>
    </row>
    <row r="52" spans="1:60" s="8" customFormat="1" ht="15.75" x14ac:dyDescent="0.2">
      <c r="A52" s="10"/>
      <c r="B52" s="362" t="s">
        <v>171</v>
      </c>
      <c r="C52" s="362"/>
      <c r="D52" s="30"/>
      <c r="E52" s="30" t="s">
        <v>180</v>
      </c>
      <c r="F52" s="228" t="str">
        <f>IF(AND(ISNUMBER(Esoil_brush_house),ISNUMBER(Vsoil_house)),Esoil_brush_house*1000000/(Vsoil_house*RHOsoil),"??")</f>
        <v>??</v>
      </c>
      <c r="G52" s="19" t="s">
        <v>807</v>
      </c>
      <c r="H52" s="19" t="s">
        <v>8</v>
      </c>
      <c r="I52" s="304" t="s">
        <v>808</v>
      </c>
    </row>
    <row r="53" spans="1:60" s="8" customFormat="1" x14ac:dyDescent="0.2">
      <c r="A53" s="10"/>
      <c r="B53" s="168"/>
      <c r="C53" s="168"/>
      <c r="D53" s="168"/>
      <c r="E53" s="30"/>
      <c r="F53" s="30"/>
      <c r="G53" s="7"/>
      <c r="H53" s="7"/>
      <c r="I53" s="20"/>
    </row>
    <row r="54" spans="1:60" x14ac:dyDescent="0.2">
      <c r="A54" s="10"/>
      <c r="B54" s="122" t="s">
        <v>175</v>
      </c>
      <c r="C54" s="123"/>
      <c r="D54" s="123"/>
      <c r="E54" s="123"/>
      <c r="F54" s="123"/>
      <c r="G54" s="123"/>
      <c r="H54" s="123"/>
      <c r="I54" s="124"/>
      <c r="AT54" s="11"/>
      <c r="AU54" s="11"/>
      <c r="AV54" s="11"/>
      <c r="AW54" s="11"/>
      <c r="AX54" s="11"/>
      <c r="AY54" s="11"/>
      <c r="AZ54" s="11"/>
      <c r="BA54" s="11"/>
      <c r="BB54" s="11"/>
      <c r="BC54" s="11"/>
      <c r="BD54" s="11"/>
      <c r="BE54" s="11"/>
      <c r="BF54" s="11"/>
      <c r="BG54" s="11"/>
      <c r="BH54" s="11"/>
    </row>
    <row r="55" spans="1:60" x14ac:dyDescent="0.2">
      <c r="A55" s="10"/>
      <c r="B55" s="121"/>
      <c r="C55" s="17"/>
      <c r="D55" s="17"/>
      <c r="E55" s="17"/>
      <c r="F55" s="17"/>
      <c r="G55" s="17"/>
      <c r="H55" s="17"/>
      <c r="I55" s="22"/>
      <c r="AT55" s="11"/>
      <c r="AU55" s="11"/>
      <c r="AV55" s="11"/>
      <c r="AW55" s="11"/>
      <c r="AX55" s="11"/>
      <c r="AY55" s="11"/>
      <c r="AZ55" s="11"/>
      <c r="BA55" s="11"/>
      <c r="BB55" s="11"/>
      <c r="BC55" s="11"/>
      <c r="BD55" s="11"/>
      <c r="BE55" s="11"/>
      <c r="BF55" s="11"/>
      <c r="BG55" s="11"/>
      <c r="BH55" s="11"/>
    </row>
    <row r="56" spans="1:60" s="8" customFormat="1" ht="33" customHeight="1" x14ac:dyDescent="0.2">
      <c r="A56" s="10"/>
      <c r="B56" s="362" t="s">
        <v>170</v>
      </c>
      <c r="C56" s="362"/>
      <c r="D56" s="30"/>
      <c r="E56" s="30" t="s">
        <v>181</v>
      </c>
      <c r="F56" s="228" t="str">
        <f>IF(AND(ISNUMBER(Qapplic_product),ISNUMBER(fai),ISNUMBER(RHOproduct),ISNUMBER(Fbrush)),AREAfence*Qapplic_product*fai*RHOproduct*Fbrush*0.001,"??")</f>
        <v>??</v>
      </c>
      <c r="G56" s="7" t="s">
        <v>21</v>
      </c>
      <c r="H56" s="7" t="s">
        <v>8</v>
      </c>
      <c r="I56" s="141" t="s">
        <v>184</v>
      </c>
    </row>
    <row r="57" spans="1:60" s="8" customFormat="1" ht="5.0999999999999996" customHeight="1" x14ac:dyDescent="0.2">
      <c r="A57" s="10"/>
      <c r="B57" s="168"/>
      <c r="C57" s="168"/>
      <c r="D57" s="168"/>
      <c r="E57" s="30"/>
      <c r="F57" s="30"/>
      <c r="G57" s="7"/>
      <c r="H57" s="7"/>
      <c r="I57" s="141"/>
    </row>
    <row r="58" spans="1:60" s="8" customFormat="1" ht="15.75" x14ac:dyDescent="0.2">
      <c r="A58" s="10"/>
      <c r="B58" s="362" t="s">
        <v>171</v>
      </c>
      <c r="C58" s="362"/>
      <c r="D58" s="30"/>
      <c r="E58" s="30" t="s">
        <v>182</v>
      </c>
      <c r="F58" s="228" t="str">
        <f>IF(AND(ISNUMBER(Esoil_brush_fence),ISNUMBER(Vsoil_fence)),Esoil_brush_fence*1000000/(Vsoil_fence*RHOsoil),"??")</f>
        <v>??</v>
      </c>
      <c r="G58" s="19" t="s">
        <v>807</v>
      </c>
      <c r="H58" s="19" t="s">
        <v>8</v>
      </c>
      <c r="I58" s="304" t="s">
        <v>809</v>
      </c>
    </row>
    <row r="59" spans="1:60" s="8" customFormat="1" x14ac:dyDescent="0.2">
      <c r="A59" s="10"/>
      <c r="B59" s="168"/>
      <c r="C59" s="168"/>
      <c r="D59" s="168"/>
      <c r="E59" s="30"/>
      <c r="F59" s="16"/>
      <c r="G59" s="7"/>
      <c r="H59" s="7"/>
      <c r="I59" s="20"/>
    </row>
    <row r="60" spans="1:60" x14ac:dyDescent="0.2">
      <c r="A60" s="10"/>
      <c r="B60" s="122" t="s">
        <v>176</v>
      </c>
      <c r="C60" s="123"/>
      <c r="D60" s="123"/>
      <c r="E60" s="123"/>
      <c r="F60" s="123"/>
      <c r="G60" s="123"/>
      <c r="H60" s="123"/>
      <c r="I60" s="124"/>
      <c r="AT60" s="11"/>
      <c r="AU60" s="11"/>
      <c r="AV60" s="11"/>
      <c r="AW60" s="11"/>
      <c r="AX60" s="11"/>
      <c r="AY60" s="11"/>
      <c r="AZ60" s="11"/>
      <c r="BA60" s="11"/>
      <c r="BB60" s="11"/>
      <c r="BC60" s="11"/>
      <c r="BD60" s="11"/>
      <c r="BE60" s="11"/>
      <c r="BF60" s="11"/>
      <c r="BG60" s="11"/>
      <c r="BH60" s="11"/>
    </row>
    <row r="61" spans="1:60" x14ac:dyDescent="0.2">
      <c r="A61" s="10"/>
      <c r="B61" s="121"/>
      <c r="C61" s="17"/>
      <c r="D61" s="17"/>
      <c r="E61" s="17"/>
      <c r="F61" s="17"/>
      <c r="G61" s="17"/>
      <c r="H61" s="17"/>
      <c r="I61" s="22"/>
      <c r="AT61" s="11"/>
      <c r="AU61" s="11"/>
      <c r="AV61" s="11"/>
      <c r="AW61" s="11"/>
      <c r="AX61" s="11"/>
      <c r="AY61" s="11"/>
      <c r="AZ61" s="11"/>
      <c r="BA61" s="11"/>
      <c r="BB61" s="11"/>
      <c r="BC61" s="11"/>
      <c r="BD61" s="11"/>
      <c r="BE61" s="11"/>
      <c r="BF61" s="11"/>
      <c r="BG61" s="11"/>
      <c r="BH61" s="11"/>
    </row>
    <row r="62" spans="1:60" s="8" customFormat="1" ht="33" customHeight="1" x14ac:dyDescent="0.2">
      <c r="A62" s="10"/>
      <c r="B62" s="362" t="s">
        <v>237</v>
      </c>
      <c r="C62" s="362"/>
      <c r="D62" s="30"/>
      <c r="E62" s="30" t="s">
        <v>185</v>
      </c>
      <c r="F62" s="228" t="str">
        <f>IF(AND(ISNUMBER(Qapplic_product),ISNUMBER(fai),ISNUMBER(RHOproduct),ISNUMBER(Fbrush)),AREAbridge*Qapplic_product*fai*RHOproduct*Fbrush*0.001,"??")</f>
        <v>??</v>
      </c>
      <c r="G62" s="7" t="s">
        <v>21</v>
      </c>
      <c r="H62" s="7" t="s">
        <v>8</v>
      </c>
      <c r="I62" s="141" t="s">
        <v>187</v>
      </c>
    </row>
    <row r="63" spans="1:60" s="8" customFormat="1" ht="5.0999999999999996" customHeight="1" x14ac:dyDescent="0.2">
      <c r="A63" s="10"/>
      <c r="B63" s="168"/>
      <c r="C63" s="168"/>
      <c r="D63" s="168"/>
      <c r="E63" s="30"/>
      <c r="F63" s="30"/>
      <c r="G63" s="7"/>
      <c r="H63" s="7"/>
      <c r="I63" s="141"/>
    </row>
    <row r="64" spans="1:60" s="8" customFormat="1" ht="15" x14ac:dyDescent="0.2">
      <c r="A64" s="10"/>
      <c r="B64" s="362" t="s">
        <v>238</v>
      </c>
      <c r="C64" s="362"/>
      <c r="D64" s="30"/>
      <c r="E64" s="30" t="s">
        <v>186</v>
      </c>
      <c r="F64" s="228" t="str">
        <f>IF(ISNUMBER(Ewater_brush_bridge),Ewater_brush_bridge*1000/Vwater,"??")</f>
        <v>??</v>
      </c>
      <c r="G64" s="19" t="s">
        <v>810</v>
      </c>
      <c r="H64" s="19" t="s">
        <v>8</v>
      </c>
      <c r="I64" s="304" t="s">
        <v>811</v>
      </c>
    </row>
    <row r="65" spans="1:13" s="8" customFormat="1" x14ac:dyDescent="0.2">
      <c r="A65" s="10"/>
      <c r="B65" s="227"/>
      <c r="C65" s="227"/>
      <c r="D65" s="30"/>
      <c r="E65" s="30"/>
      <c r="F65" s="30"/>
      <c r="G65" s="7"/>
      <c r="H65" s="7"/>
      <c r="I65" s="141"/>
    </row>
    <row r="66" spans="1:13" s="10" customFormat="1" x14ac:dyDescent="0.2">
      <c r="B66" s="86" t="s">
        <v>12</v>
      </c>
      <c r="C66" s="8"/>
      <c r="D66" s="8"/>
      <c r="E66" s="8"/>
      <c r="F66" s="8"/>
      <c r="G66" s="74"/>
      <c r="H66" s="74"/>
      <c r="I66" s="85"/>
      <c r="M66" s="61"/>
    </row>
    <row r="67" spans="1:13" s="10" customFormat="1" x14ac:dyDescent="0.2">
      <c r="B67" s="86"/>
      <c r="E67" s="61"/>
    </row>
    <row r="68" spans="1:13" s="8" customFormat="1" x14ac:dyDescent="0.2">
      <c r="B68" s="307" t="s">
        <v>818</v>
      </c>
      <c r="E68" s="85"/>
    </row>
    <row r="69" spans="1:13" s="8" customFormat="1" x14ac:dyDescent="0.2">
      <c r="E69" s="85"/>
    </row>
    <row r="70" spans="1:13" s="8" customFormat="1" x14ac:dyDescent="0.2">
      <c r="E70" s="85"/>
    </row>
    <row r="71" spans="1:13" s="8" customFormat="1" x14ac:dyDescent="0.2">
      <c r="E71" s="85"/>
    </row>
    <row r="72" spans="1:13" s="8" customFormat="1" x14ac:dyDescent="0.2">
      <c r="E72" s="85"/>
    </row>
    <row r="73" spans="1:13" s="8" customFormat="1" x14ac:dyDescent="0.2">
      <c r="E73" s="85"/>
    </row>
    <row r="74" spans="1:13" s="8" customFormat="1" x14ac:dyDescent="0.2">
      <c r="E74" s="85"/>
    </row>
    <row r="75" spans="1:13" s="8" customFormat="1" x14ac:dyDescent="0.2">
      <c r="E75" s="85"/>
    </row>
    <row r="76" spans="1:13" s="8" customFormat="1" x14ac:dyDescent="0.2">
      <c r="E76" s="85"/>
    </row>
    <row r="77" spans="1:13" s="8" customFormat="1" x14ac:dyDescent="0.2">
      <c r="E77" s="85"/>
    </row>
    <row r="78" spans="1:13" s="8" customFormat="1" x14ac:dyDescent="0.2">
      <c r="E78" s="85"/>
    </row>
    <row r="79" spans="1:13" s="8" customFormat="1" x14ac:dyDescent="0.2">
      <c r="E79" s="85"/>
    </row>
    <row r="80" spans="1:13" s="8" customFormat="1" x14ac:dyDescent="0.2">
      <c r="E80" s="85"/>
    </row>
    <row r="81" spans="5:5" s="8" customFormat="1" x14ac:dyDescent="0.2">
      <c r="E81" s="85"/>
    </row>
    <row r="82" spans="5:5" s="8" customFormat="1" x14ac:dyDescent="0.2">
      <c r="E82" s="85"/>
    </row>
    <row r="83" spans="5:5" s="8" customFormat="1" x14ac:dyDescent="0.2">
      <c r="E83" s="85"/>
    </row>
    <row r="84" spans="5:5" s="8" customFormat="1" x14ac:dyDescent="0.2">
      <c r="E84" s="85"/>
    </row>
    <row r="85" spans="5:5" s="8" customFormat="1" x14ac:dyDescent="0.2">
      <c r="E85" s="85"/>
    </row>
    <row r="86" spans="5:5" s="8" customFormat="1" x14ac:dyDescent="0.2">
      <c r="E86" s="85"/>
    </row>
    <row r="87" spans="5:5" s="8" customFormat="1" x14ac:dyDescent="0.2">
      <c r="E87" s="85"/>
    </row>
    <row r="88" spans="5:5" s="8" customFormat="1" x14ac:dyDescent="0.2">
      <c r="E88" s="85"/>
    </row>
    <row r="89" spans="5:5" s="8" customFormat="1" x14ac:dyDescent="0.2">
      <c r="E89" s="85"/>
    </row>
    <row r="90" spans="5:5" s="8" customFormat="1" x14ac:dyDescent="0.2">
      <c r="E90" s="85"/>
    </row>
    <row r="91" spans="5:5" s="8" customFormat="1" x14ac:dyDescent="0.2">
      <c r="E91" s="85"/>
    </row>
    <row r="92" spans="5:5" s="8" customFormat="1" x14ac:dyDescent="0.2">
      <c r="E92" s="85"/>
    </row>
    <row r="93" spans="5:5" s="8" customFormat="1" x14ac:dyDescent="0.2">
      <c r="E93" s="85"/>
    </row>
    <row r="94" spans="5:5" s="8" customFormat="1" x14ac:dyDescent="0.2">
      <c r="E94" s="85"/>
    </row>
    <row r="95" spans="5:5" s="8" customFormat="1" x14ac:dyDescent="0.2">
      <c r="E95" s="85"/>
    </row>
    <row r="96" spans="5:5" s="8" customFormat="1" x14ac:dyDescent="0.2">
      <c r="E96" s="85"/>
    </row>
    <row r="97" spans="5:5" s="8" customFormat="1" x14ac:dyDescent="0.2">
      <c r="E97" s="85"/>
    </row>
    <row r="98" spans="5:5" s="8" customFormat="1" x14ac:dyDescent="0.2">
      <c r="E98" s="85"/>
    </row>
    <row r="99" spans="5:5" s="8" customFormat="1" x14ac:dyDescent="0.2">
      <c r="E99" s="85"/>
    </row>
    <row r="100" spans="5:5" s="8" customFormat="1" x14ac:dyDescent="0.2">
      <c r="E100" s="85"/>
    </row>
    <row r="101" spans="5:5" s="8" customFormat="1" x14ac:dyDescent="0.2">
      <c r="E101" s="85"/>
    </row>
    <row r="102" spans="5:5" s="8" customFormat="1" x14ac:dyDescent="0.2">
      <c r="E102" s="85"/>
    </row>
    <row r="103" spans="5:5" s="8" customFormat="1" x14ac:dyDescent="0.2">
      <c r="E103" s="85"/>
    </row>
    <row r="104" spans="5:5" s="8" customFormat="1" x14ac:dyDescent="0.2">
      <c r="E104" s="85"/>
    </row>
    <row r="105" spans="5:5" s="8" customFormat="1" x14ac:dyDescent="0.2">
      <c r="E105" s="85"/>
    </row>
    <row r="106" spans="5:5" s="8" customFormat="1" x14ac:dyDescent="0.2">
      <c r="E106" s="85"/>
    </row>
    <row r="107" spans="5:5" s="8" customFormat="1" x14ac:dyDescent="0.2">
      <c r="E107" s="85"/>
    </row>
    <row r="108" spans="5:5" s="8" customFormat="1" x14ac:dyDescent="0.2">
      <c r="E108" s="85"/>
    </row>
    <row r="109" spans="5:5" s="8" customFormat="1" x14ac:dyDescent="0.2">
      <c r="E109" s="85"/>
    </row>
    <row r="110" spans="5:5" s="8" customFormat="1" x14ac:dyDescent="0.2">
      <c r="E110" s="85"/>
    </row>
    <row r="111" spans="5:5" s="8" customFormat="1" x14ac:dyDescent="0.2">
      <c r="E111" s="85"/>
    </row>
    <row r="112" spans="5:5" s="8" customFormat="1" x14ac:dyDescent="0.2">
      <c r="E112" s="85"/>
    </row>
    <row r="113" spans="5:5" s="8" customFormat="1" x14ac:dyDescent="0.2">
      <c r="E113" s="85"/>
    </row>
    <row r="114" spans="5:5" s="8" customFormat="1" x14ac:dyDescent="0.2">
      <c r="E114" s="85"/>
    </row>
    <row r="115" spans="5:5" s="8" customFormat="1" x14ac:dyDescent="0.2">
      <c r="E115" s="85"/>
    </row>
    <row r="116" spans="5:5" s="8" customFormat="1" x14ac:dyDescent="0.2">
      <c r="E116" s="85"/>
    </row>
    <row r="117" spans="5:5" s="8" customFormat="1" x14ac:dyDescent="0.2">
      <c r="E117" s="85"/>
    </row>
    <row r="118" spans="5:5" s="8" customFormat="1" x14ac:dyDescent="0.2">
      <c r="E118" s="85"/>
    </row>
    <row r="119" spans="5:5" s="8" customFormat="1" x14ac:dyDescent="0.2">
      <c r="E119" s="85"/>
    </row>
    <row r="120" spans="5:5" s="8" customFormat="1" x14ac:dyDescent="0.2">
      <c r="E120" s="85"/>
    </row>
    <row r="121" spans="5:5" s="8" customFormat="1" x14ac:dyDescent="0.2">
      <c r="E121" s="85"/>
    </row>
    <row r="122" spans="5:5" s="8" customFormat="1" x14ac:dyDescent="0.2">
      <c r="E122" s="85"/>
    </row>
    <row r="123" spans="5:5" s="8" customFormat="1" x14ac:dyDescent="0.2">
      <c r="E123" s="85"/>
    </row>
    <row r="124" spans="5:5" s="8" customFormat="1" x14ac:dyDescent="0.2">
      <c r="E124" s="85"/>
    </row>
    <row r="125" spans="5:5" s="8" customFormat="1" x14ac:dyDescent="0.2">
      <c r="E125" s="85"/>
    </row>
    <row r="126" spans="5:5" s="8" customFormat="1" x14ac:dyDescent="0.2">
      <c r="E126" s="85"/>
    </row>
    <row r="127" spans="5:5" s="8" customFormat="1" x14ac:dyDescent="0.2">
      <c r="E127" s="85"/>
    </row>
    <row r="128" spans="5:5" s="8" customFormat="1" x14ac:dyDescent="0.2">
      <c r="E128" s="85"/>
    </row>
    <row r="129" spans="5:5" s="8" customFormat="1" x14ac:dyDescent="0.2">
      <c r="E129" s="85"/>
    </row>
    <row r="130" spans="5:5" s="8" customFormat="1" x14ac:dyDescent="0.2">
      <c r="E130" s="85"/>
    </row>
    <row r="131" spans="5:5" s="8" customFormat="1" x14ac:dyDescent="0.2">
      <c r="E131" s="85"/>
    </row>
    <row r="132" spans="5:5" s="8" customFormat="1" x14ac:dyDescent="0.2">
      <c r="E132" s="85"/>
    </row>
    <row r="133" spans="5:5" s="8" customFormat="1" x14ac:dyDescent="0.2">
      <c r="E133" s="85"/>
    </row>
    <row r="134" spans="5:5" s="8" customFormat="1" x14ac:dyDescent="0.2">
      <c r="E134" s="85"/>
    </row>
    <row r="135" spans="5:5" s="8" customFormat="1" x14ac:dyDescent="0.2">
      <c r="E135" s="85"/>
    </row>
    <row r="136" spans="5:5" s="8" customFormat="1" x14ac:dyDescent="0.2">
      <c r="E136" s="85"/>
    </row>
    <row r="137" spans="5:5" s="8" customFormat="1" x14ac:dyDescent="0.2">
      <c r="E137" s="85"/>
    </row>
    <row r="138" spans="5:5" s="8" customFormat="1" x14ac:dyDescent="0.2">
      <c r="E138" s="85"/>
    </row>
    <row r="139" spans="5:5" s="8" customFormat="1" x14ac:dyDescent="0.2">
      <c r="E139" s="85"/>
    </row>
    <row r="140" spans="5:5" s="8" customFormat="1" x14ac:dyDescent="0.2">
      <c r="E140" s="85"/>
    </row>
    <row r="141" spans="5:5" s="8" customFormat="1" x14ac:dyDescent="0.2">
      <c r="E141" s="85"/>
    </row>
    <row r="142" spans="5:5" s="8" customFormat="1" x14ac:dyDescent="0.2">
      <c r="E142" s="85"/>
    </row>
    <row r="143" spans="5:5" s="8" customFormat="1" x14ac:dyDescent="0.2">
      <c r="E143" s="85"/>
    </row>
    <row r="144" spans="5:5" s="8" customFormat="1" x14ac:dyDescent="0.2">
      <c r="E144" s="85"/>
    </row>
    <row r="145" spans="5:5" s="8" customFormat="1" x14ac:dyDescent="0.2">
      <c r="E145" s="85"/>
    </row>
    <row r="146" spans="5:5" s="8" customFormat="1" x14ac:dyDescent="0.2">
      <c r="E146" s="85"/>
    </row>
    <row r="147" spans="5:5" s="8" customFormat="1" x14ac:dyDescent="0.2">
      <c r="E147" s="85"/>
    </row>
    <row r="148" spans="5:5" s="8" customFormat="1" x14ac:dyDescent="0.2">
      <c r="E148" s="85"/>
    </row>
    <row r="149" spans="5:5" s="8" customFormat="1" x14ac:dyDescent="0.2">
      <c r="E149" s="85"/>
    </row>
    <row r="150" spans="5:5" s="8" customFormat="1" x14ac:dyDescent="0.2">
      <c r="E150" s="85"/>
    </row>
    <row r="151" spans="5:5" s="8" customFormat="1" x14ac:dyDescent="0.2">
      <c r="E151" s="85"/>
    </row>
    <row r="152" spans="5:5" s="8" customFormat="1" x14ac:dyDescent="0.2">
      <c r="E152" s="85"/>
    </row>
    <row r="153" spans="5:5" s="8" customFormat="1" x14ac:dyDescent="0.2">
      <c r="E153" s="85"/>
    </row>
    <row r="154" spans="5:5" s="8" customFormat="1" x14ac:dyDescent="0.2">
      <c r="E154" s="85"/>
    </row>
    <row r="155" spans="5:5" s="8" customFormat="1" x14ac:dyDescent="0.2">
      <c r="E155" s="85"/>
    </row>
    <row r="156" spans="5:5" s="8" customFormat="1" x14ac:dyDescent="0.2">
      <c r="E156" s="85"/>
    </row>
    <row r="157" spans="5:5" s="8" customFormat="1" x14ac:dyDescent="0.2">
      <c r="E157" s="85"/>
    </row>
    <row r="158" spans="5:5" s="8" customFormat="1" x14ac:dyDescent="0.2">
      <c r="E158" s="85"/>
    </row>
    <row r="159" spans="5:5" s="8" customFormat="1" x14ac:dyDescent="0.2">
      <c r="E159" s="85"/>
    </row>
    <row r="160" spans="5:5" s="8" customFormat="1" x14ac:dyDescent="0.2">
      <c r="E160" s="85"/>
    </row>
    <row r="161" spans="5:5" s="8" customFormat="1" x14ac:dyDescent="0.2">
      <c r="E161" s="85"/>
    </row>
    <row r="162" spans="5:5" s="8" customFormat="1" x14ac:dyDescent="0.2">
      <c r="E162" s="85"/>
    </row>
    <row r="163" spans="5:5" s="8" customFormat="1" x14ac:dyDescent="0.2">
      <c r="E163" s="85"/>
    </row>
    <row r="164" spans="5:5" s="8" customFormat="1" x14ac:dyDescent="0.2">
      <c r="E164" s="85"/>
    </row>
    <row r="165" spans="5:5" s="8" customFormat="1" x14ac:dyDescent="0.2">
      <c r="E165" s="85"/>
    </row>
    <row r="166" spans="5:5" s="8" customFormat="1" x14ac:dyDescent="0.2">
      <c r="E166" s="85"/>
    </row>
    <row r="167" spans="5:5" s="8" customFormat="1" x14ac:dyDescent="0.2">
      <c r="E167" s="85"/>
    </row>
    <row r="168" spans="5:5" s="8" customFormat="1" x14ac:dyDescent="0.2">
      <c r="E168" s="85"/>
    </row>
    <row r="169" spans="5:5" s="8" customFormat="1" x14ac:dyDescent="0.2">
      <c r="E169" s="85"/>
    </row>
    <row r="170" spans="5:5" s="8" customFormat="1" x14ac:dyDescent="0.2">
      <c r="E170" s="85"/>
    </row>
    <row r="171" spans="5:5" s="8" customFormat="1" x14ac:dyDescent="0.2">
      <c r="E171" s="85"/>
    </row>
    <row r="172" spans="5:5" s="8" customFormat="1" x14ac:dyDescent="0.2">
      <c r="E172" s="85"/>
    </row>
    <row r="173" spans="5:5" s="8" customFormat="1" x14ac:dyDescent="0.2">
      <c r="E173" s="85"/>
    </row>
    <row r="174" spans="5:5" s="8" customFormat="1" x14ac:dyDescent="0.2">
      <c r="E174" s="85"/>
    </row>
    <row r="175" spans="5:5" s="8" customFormat="1" x14ac:dyDescent="0.2">
      <c r="E175" s="85"/>
    </row>
    <row r="176" spans="5:5" s="8" customFormat="1" x14ac:dyDescent="0.2">
      <c r="E176" s="85"/>
    </row>
    <row r="177" spans="5:5" s="8" customFormat="1" x14ac:dyDescent="0.2">
      <c r="E177" s="85"/>
    </row>
    <row r="178" spans="5:5" s="8" customFormat="1" x14ac:dyDescent="0.2">
      <c r="E178" s="85"/>
    </row>
    <row r="179" spans="5:5" s="8" customFormat="1" x14ac:dyDescent="0.2">
      <c r="E179" s="85"/>
    </row>
    <row r="180" spans="5:5" s="8" customFormat="1" x14ac:dyDescent="0.2">
      <c r="E180" s="85"/>
    </row>
    <row r="181" spans="5:5" s="8" customFormat="1" x14ac:dyDescent="0.2">
      <c r="E181" s="85"/>
    </row>
    <row r="182" spans="5:5" s="8" customFormat="1" x14ac:dyDescent="0.2">
      <c r="E182" s="85"/>
    </row>
    <row r="183" spans="5:5" s="8" customFormat="1" x14ac:dyDescent="0.2">
      <c r="E183" s="85"/>
    </row>
    <row r="184" spans="5:5" s="8" customFormat="1" x14ac:dyDescent="0.2">
      <c r="E184" s="85"/>
    </row>
    <row r="185" spans="5:5" s="8" customFormat="1" x14ac:dyDescent="0.2">
      <c r="E185" s="85"/>
    </row>
    <row r="186" spans="5:5" s="8" customFormat="1" x14ac:dyDescent="0.2">
      <c r="E186" s="85"/>
    </row>
    <row r="187" spans="5:5" s="8" customFormat="1" x14ac:dyDescent="0.2">
      <c r="E187" s="85"/>
    </row>
    <row r="188" spans="5:5" s="8" customFormat="1" x14ac:dyDescent="0.2">
      <c r="E188" s="85"/>
    </row>
    <row r="189" spans="5:5" s="8" customFormat="1" x14ac:dyDescent="0.2">
      <c r="E189" s="85"/>
    </row>
    <row r="190" spans="5:5" s="8" customFormat="1" x14ac:dyDescent="0.2">
      <c r="E190" s="85"/>
    </row>
    <row r="191" spans="5:5" s="8" customFormat="1" x14ac:dyDescent="0.2">
      <c r="E191" s="85"/>
    </row>
    <row r="192" spans="5:5" s="8" customFormat="1" x14ac:dyDescent="0.2">
      <c r="E192" s="85"/>
    </row>
    <row r="193" spans="5:5" s="8" customFormat="1" x14ac:dyDescent="0.2">
      <c r="E193" s="85"/>
    </row>
    <row r="194" spans="5:5" s="8" customFormat="1" x14ac:dyDescent="0.2">
      <c r="E194" s="85"/>
    </row>
    <row r="195" spans="5:5" s="8" customFormat="1" x14ac:dyDescent="0.2">
      <c r="E195" s="85"/>
    </row>
    <row r="196" spans="5:5" s="8" customFormat="1" x14ac:dyDescent="0.2">
      <c r="E196" s="85"/>
    </row>
    <row r="197" spans="5:5" s="8" customFormat="1" x14ac:dyDescent="0.2">
      <c r="E197" s="85"/>
    </row>
    <row r="198" spans="5:5" s="8" customFormat="1" x14ac:dyDescent="0.2">
      <c r="E198" s="85"/>
    </row>
    <row r="199" spans="5:5" s="8" customFormat="1" x14ac:dyDescent="0.2">
      <c r="E199" s="85"/>
    </row>
    <row r="200" spans="5:5" s="8" customFormat="1" x14ac:dyDescent="0.2">
      <c r="E200" s="85"/>
    </row>
    <row r="201" spans="5:5" s="8" customFormat="1" x14ac:dyDescent="0.2">
      <c r="E201" s="85"/>
    </row>
    <row r="202" spans="5:5" s="8" customFormat="1" x14ac:dyDescent="0.2">
      <c r="E202" s="85"/>
    </row>
    <row r="203" spans="5:5" s="8" customFormat="1" x14ac:dyDescent="0.2">
      <c r="E203" s="85"/>
    </row>
    <row r="204" spans="5:5" s="8" customFormat="1" x14ac:dyDescent="0.2">
      <c r="E204" s="85"/>
    </row>
    <row r="205" spans="5:5" s="8" customFormat="1" x14ac:dyDescent="0.2">
      <c r="E205" s="85"/>
    </row>
    <row r="206" spans="5:5" s="8" customFormat="1" x14ac:dyDescent="0.2">
      <c r="E206" s="85"/>
    </row>
    <row r="207" spans="5:5" s="8" customFormat="1" x14ac:dyDescent="0.2">
      <c r="E207" s="85"/>
    </row>
    <row r="208" spans="5:5" s="8" customFormat="1" x14ac:dyDescent="0.2">
      <c r="E208" s="85"/>
    </row>
    <row r="209" spans="5:5" s="8" customFormat="1" x14ac:dyDescent="0.2">
      <c r="E209" s="85"/>
    </row>
    <row r="210" spans="5:5" s="8" customFormat="1" x14ac:dyDescent="0.2">
      <c r="E210" s="85"/>
    </row>
    <row r="211" spans="5:5" s="8" customFormat="1" x14ac:dyDescent="0.2">
      <c r="E211" s="85"/>
    </row>
    <row r="212" spans="5:5" s="8" customFormat="1" x14ac:dyDescent="0.2">
      <c r="E212" s="85"/>
    </row>
    <row r="213" spans="5:5" s="8" customFormat="1" x14ac:dyDescent="0.2">
      <c r="E213" s="85"/>
    </row>
    <row r="214" spans="5:5" s="8" customFormat="1" x14ac:dyDescent="0.2">
      <c r="E214" s="85"/>
    </row>
    <row r="215" spans="5:5" s="8" customFormat="1" x14ac:dyDescent="0.2">
      <c r="E215" s="85"/>
    </row>
    <row r="216" spans="5:5" s="8" customFormat="1" x14ac:dyDescent="0.2">
      <c r="E216" s="85"/>
    </row>
    <row r="217" spans="5:5" s="8" customFormat="1" x14ac:dyDescent="0.2">
      <c r="E217" s="85"/>
    </row>
    <row r="218" spans="5:5" s="8" customFormat="1" x14ac:dyDescent="0.2">
      <c r="E218" s="85"/>
    </row>
    <row r="219" spans="5:5" s="8" customFormat="1" x14ac:dyDescent="0.2">
      <c r="E219" s="85"/>
    </row>
    <row r="220" spans="5:5" s="8" customFormat="1" x14ac:dyDescent="0.2">
      <c r="E220" s="85"/>
    </row>
    <row r="221" spans="5:5" s="8" customFormat="1" x14ac:dyDescent="0.2">
      <c r="E221" s="85"/>
    </row>
    <row r="222" spans="5:5" s="8" customFormat="1" x14ac:dyDescent="0.2">
      <c r="E222" s="85"/>
    </row>
    <row r="223" spans="5:5" s="8" customFormat="1" x14ac:dyDescent="0.2">
      <c r="E223" s="85"/>
    </row>
    <row r="224" spans="5:5" s="8" customFormat="1" x14ac:dyDescent="0.2">
      <c r="E224" s="85"/>
    </row>
    <row r="225" spans="5:5" s="8" customFormat="1" x14ac:dyDescent="0.2">
      <c r="E225" s="85"/>
    </row>
    <row r="226" spans="5:5" s="8" customFormat="1" x14ac:dyDescent="0.2">
      <c r="E226" s="85"/>
    </row>
    <row r="227" spans="5:5" s="8" customFormat="1" x14ac:dyDescent="0.2">
      <c r="E227" s="85"/>
    </row>
    <row r="228" spans="5:5" s="8" customFormat="1" x14ac:dyDescent="0.2">
      <c r="E228" s="85"/>
    </row>
    <row r="229" spans="5:5" s="8" customFormat="1" x14ac:dyDescent="0.2">
      <c r="E229" s="85"/>
    </row>
    <row r="230" spans="5:5" s="8" customFormat="1" x14ac:dyDescent="0.2">
      <c r="E230" s="85"/>
    </row>
    <row r="231" spans="5:5" s="8" customFormat="1" x14ac:dyDescent="0.2">
      <c r="E231" s="85"/>
    </row>
    <row r="232" spans="5:5" s="8" customFormat="1" x14ac:dyDescent="0.2">
      <c r="E232" s="85"/>
    </row>
    <row r="233" spans="5:5" s="8" customFormat="1" x14ac:dyDescent="0.2">
      <c r="E233" s="85"/>
    </row>
    <row r="234" spans="5:5" s="8" customFormat="1" x14ac:dyDescent="0.2">
      <c r="E234" s="85"/>
    </row>
    <row r="235" spans="5:5" s="8" customFormat="1" x14ac:dyDescent="0.2">
      <c r="E235" s="85"/>
    </row>
    <row r="236" spans="5:5" s="8" customFormat="1" x14ac:dyDescent="0.2">
      <c r="E236" s="85"/>
    </row>
    <row r="237" spans="5:5" s="8" customFormat="1" x14ac:dyDescent="0.2">
      <c r="E237" s="85"/>
    </row>
    <row r="238" spans="5:5" s="8" customFormat="1" x14ac:dyDescent="0.2">
      <c r="E238" s="85"/>
    </row>
    <row r="239" spans="5:5" s="8" customFormat="1" x14ac:dyDescent="0.2">
      <c r="E239" s="85"/>
    </row>
    <row r="240" spans="5:5" s="8" customFormat="1" x14ac:dyDescent="0.2">
      <c r="E240" s="85"/>
    </row>
    <row r="241" spans="5:5" s="8" customFormat="1" x14ac:dyDescent="0.2">
      <c r="E241" s="85"/>
    </row>
    <row r="242" spans="5:5" s="8" customFormat="1" x14ac:dyDescent="0.2">
      <c r="E242" s="85"/>
    </row>
    <row r="243" spans="5:5" s="8" customFormat="1" x14ac:dyDescent="0.2">
      <c r="E243" s="85"/>
    </row>
    <row r="244" spans="5:5" s="8" customFormat="1" x14ac:dyDescent="0.2">
      <c r="E244" s="85"/>
    </row>
    <row r="245" spans="5:5" s="8" customFormat="1" x14ac:dyDescent="0.2">
      <c r="E245" s="85"/>
    </row>
    <row r="246" spans="5:5" s="8" customFormat="1" x14ac:dyDescent="0.2">
      <c r="E246" s="85"/>
    </row>
    <row r="247" spans="5:5" s="8" customFormat="1" x14ac:dyDescent="0.2">
      <c r="E247" s="85"/>
    </row>
    <row r="248" spans="5:5" s="8" customFormat="1" x14ac:dyDescent="0.2">
      <c r="E248" s="85"/>
    </row>
    <row r="249" spans="5:5" s="8" customFormat="1" x14ac:dyDescent="0.2">
      <c r="E249" s="85"/>
    </row>
    <row r="250" spans="5:5" s="8" customFormat="1" x14ac:dyDescent="0.2">
      <c r="E250" s="85"/>
    </row>
    <row r="251" spans="5:5" s="8" customFormat="1" x14ac:dyDescent="0.2">
      <c r="E251" s="85"/>
    </row>
    <row r="252" spans="5:5" s="8" customFormat="1" x14ac:dyDescent="0.2">
      <c r="E252" s="85"/>
    </row>
    <row r="253" spans="5:5" s="8" customFormat="1" x14ac:dyDescent="0.2">
      <c r="E253" s="85"/>
    </row>
    <row r="254" spans="5:5" s="8" customFormat="1" x14ac:dyDescent="0.2">
      <c r="E254" s="85"/>
    </row>
    <row r="255" spans="5:5" s="8" customFormat="1" x14ac:dyDescent="0.2">
      <c r="E255" s="85"/>
    </row>
    <row r="256" spans="5:5" s="8" customFormat="1" x14ac:dyDescent="0.2">
      <c r="E256" s="85"/>
    </row>
    <row r="257" spans="5:5" s="8" customFormat="1" x14ac:dyDescent="0.2">
      <c r="E257" s="85"/>
    </row>
    <row r="258" spans="5:5" s="8" customFormat="1" x14ac:dyDescent="0.2">
      <c r="E258" s="85"/>
    </row>
    <row r="259" spans="5:5" s="8" customFormat="1" x14ac:dyDescent="0.2">
      <c r="E259" s="85"/>
    </row>
    <row r="260" spans="5:5" s="8" customFormat="1" x14ac:dyDescent="0.2">
      <c r="E260" s="85"/>
    </row>
    <row r="261" spans="5:5" s="8" customFormat="1" x14ac:dyDescent="0.2">
      <c r="E261" s="85"/>
    </row>
    <row r="262" spans="5:5" s="8" customFormat="1" x14ac:dyDescent="0.2">
      <c r="E262" s="85"/>
    </row>
    <row r="263" spans="5:5" s="8" customFormat="1" x14ac:dyDescent="0.2">
      <c r="E263" s="85"/>
    </row>
    <row r="264" spans="5:5" s="8" customFormat="1" x14ac:dyDescent="0.2">
      <c r="E264" s="85"/>
    </row>
    <row r="265" spans="5:5" s="8" customFormat="1" x14ac:dyDescent="0.2">
      <c r="E265" s="85"/>
    </row>
    <row r="266" spans="5:5" s="8" customFormat="1" x14ac:dyDescent="0.2">
      <c r="E266" s="85"/>
    </row>
    <row r="267" spans="5:5" s="8" customFormat="1" x14ac:dyDescent="0.2">
      <c r="E267" s="85"/>
    </row>
    <row r="268" spans="5:5" s="8" customFormat="1" x14ac:dyDescent="0.2">
      <c r="E268" s="85"/>
    </row>
    <row r="269" spans="5:5" s="8" customFormat="1" x14ac:dyDescent="0.2">
      <c r="E269" s="85"/>
    </row>
    <row r="270" spans="5:5" s="8" customFormat="1" x14ac:dyDescent="0.2">
      <c r="E270" s="85"/>
    </row>
    <row r="271" spans="5:5" s="8" customFormat="1" x14ac:dyDescent="0.2">
      <c r="E271" s="85"/>
    </row>
    <row r="272" spans="5:5" s="8" customFormat="1" x14ac:dyDescent="0.2">
      <c r="E272" s="85"/>
    </row>
    <row r="273" spans="5:5" s="8" customFormat="1" x14ac:dyDescent="0.2">
      <c r="E273" s="85"/>
    </row>
    <row r="274" spans="5:5" s="8" customFormat="1" x14ac:dyDescent="0.2">
      <c r="E274" s="85"/>
    </row>
    <row r="275" spans="5:5" s="8" customFormat="1" x14ac:dyDescent="0.2">
      <c r="E275" s="85"/>
    </row>
    <row r="276" spans="5:5" s="8" customFormat="1" x14ac:dyDescent="0.2">
      <c r="E276" s="85"/>
    </row>
    <row r="277" spans="5:5" s="8" customFormat="1" x14ac:dyDescent="0.2">
      <c r="E277" s="85"/>
    </row>
    <row r="278" spans="5:5" s="8" customFormat="1" x14ac:dyDescent="0.2">
      <c r="E278" s="85"/>
    </row>
    <row r="279" spans="5:5" s="8" customFormat="1" x14ac:dyDescent="0.2">
      <c r="E279" s="85"/>
    </row>
    <row r="280" spans="5:5" s="8" customFormat="1" x14ac:dyDescent="0.2">
      <c r="E280" s="85"/>
    </row>
    <row r="281" spans="5:5" s="8" customFormat="1" x14ac:dyDescent="0.2">
      <c r="E281" s="85"/>
    </row>
    <row r="282" spans="5:5" s="8" customFormat="1" x14ac:dyDescent="0.2">
      <c r="E282" s="85"/>
    </row>
    <row r="283" spans="5:5" s="8" customFormat="1" x14ac:dyDescent="0.2">
      <c r="E283" s="85"/>
    </row>
    <row r="284" spans="5:5" s="8" customFormat="1" x14ac:dyDescent="0.2">
      <c r="E284" s="85"/>
    </row>
    <row r="285" spans="5:5" s="8" customFormat="1" x14ac:dyDescent="0.2">
      <c r="E285" s="85"/>
    </row>
    <row r="286" spans="5:5" s="8" customFormat="1" x14ac:dyDescent="0.2">
      <c r="E286" s="85"/>
    </row>
    <row r="287" spans="5:5" s="8" customFormat="1" x14ac:dyDescent="0.2">
      <c r="E287" s="85"/>
    </row>
    <row r="288" spans="5:5" s="8" customFormat="1" x14ac:dyDescent="0.2">
      <c r="E288" s="85"/>
    </row>
    <row r="289" spans="5:5" s="8" customFormat="1" x14ac:dyDescent="0.2">
      <c r="E289" s="85"/>
    </row>
    <row r="290" spans="5:5" s="8" customFormat="1" x14ac:dyDescent="0.2">
      <c r="E290" s="85"/>
    </row>
    <row r="291" spans="5:5" s="8" customFormat="1" x14ac:dyDescent="0.2">
      <c r="E291" s="85"/>
    </row>
    <row r="292" spans="5:5" s="8" customFormat="1" x14ac:dyDescent="0.2">
      <c r="E292" s="85"/>
    </row>
    <row r="293" spans="5:5" s="8" customFormat="1" x14ac:dyDescent="0.2">
      <c r="E293" s="85"/>
    </row>
    <row r="294" spans="5:5" s="8" customFormat="1" x14ac:dyDescent="0.2">
      <c r="E294" s="85"/>
    </row>
    <row r="295" spans="5:5" s="8" customFormat="1" x14ac:dyDescent="0.2">
      <c r="E295" s="85"/>
    </row>
    <row r="296" spans="5:5" s="8" customFormat="1" x14ac:dyDescent="0.2">
      <c r="E296" s="85"/>
    </row>
    <row r="297" spans="5:5" s="8" customFormat="1" x14ac:dyDescent="0.2">
      <c r="E297" s="85"/>
    </row>
    <row r="298" spans="5:5" s="8" customFormat="1" x14ac:dyDescent="0.2">
      <c r="E298" s="85"/>
    </row>
    <row r="299" spans="5:5" s="8" customFormat="1" x14ac:dyDescent="0.2">
      <c r="E299" s="85"/>
    </row>
    <row r="300" spans="5:5" s="8" customFormat="1" x14ac:dyDescent="0.2">
      <c r="E300" s="85"/>
    </row>
    <row r="301" spans="5:5" s="8" customFormat="1" x14ac:dyDescent="0.2">
      <c r="E301" s="85"/>
    </row>
    <row r="302" spans="5:5" s="8" customFormat="1" x14ac:dyDescent="0.2">
      <c r="E302" s="85"/>
    </row>
    <row r="303" spans="5:5" s="8" customFormat="1" x14ac:dyDescent="0.2">
      <c r="E303" s="85"/>
    </row>
    <row r="304" spans="5:5" s="8" customFormat="1" x14ac:dyDescent="0.2">
      <c r="E304" s="85"/>
    </row>
    <row r="305" spans="5:5" s="8" customFormat="1" x14ac:dyDescent="0.2">
      <c r="E305" s="85"/>
    </row>
    <row r="306" spans="5:5" s="8" customFormat="1" x14ac:dyDescent="0.2">
      <c r="E306" s="85"/>
    </row>
    <row r="307" spans="5:5" s="8" customFormat="1" x14ac:dyDescent="0.2">
      <c r="E307" s="85"/>
    </row>
    <row r="308" spans="5:5" s="8" customFormat="1" x14ac:dyDescent="0.2">
      <c r="E308" s="85"/>
    </row>
    <row r="309" spans="5:5" s="8" customFormat="1" x14ac:dyDescent="0.2">
      <c r="E309" s="85"/>
    </row>
    <row r="310" spans="5:5" s="8" customFormat="1" x14ac:dyDescent="0.2">
      <c r="E310" s="85"/>
    </row>
    <row r="311" spans="5:5" s="8" customFormat="1" x14ac:dyDescent="0.2">
      <c r="E311" s="85"/>
    </row>
    <row r="312" spans="5:5" s="8" customFormat="1" x14ac:dyDescent="0.2">
      <c r="E312" s="85"/>
    </row>
    <row r="313" spans="5:5" s="8" customFormat="1" x14ac:dyDescent="0.2">
      <c r="E313" s="85"/>
    </row>
    <row r="314" spans="5:5" s="8" customFormat="1" x14ac:dyDescent="0.2">
      <c r="E314" s="85"/>
    </row>
    <row r="315" spans="5:5" s="8" customFormat="1" x14ac:dyDescent="0.2">
      <c r="E315" s="85"/>
    </row>
    <row r="316" spans="5:5" s="8" customFormat="1" x14ac:dyDescent="0.2">
      <c r="E316" s="85"/>
    </row>
    <row r="317" spans="5:5" s="8" customFormat="1" x14ac:dyDescent="0.2">
      <c r="E317" s="85"/>
    </row>
    <row r="318" spans="5:5" s="8" customFormat="1" x14ac:dyDescent="0.2">
      <c r="E318" s="85"/>
    </row>
    <row r="319" spans="5:5" s="8" customFormat="1" x14ac:dyDescent="0.2">
      <c r="E319" s="85"/>
    </row>
    <row r="320" spans="5:5" s="8" customFormat="1" x14ac:dyDescent="0.2">
      <c r="E320" s="85"/>
    </row>
    <row r="321" spans="5:5" s="8" customFormat="1" x14ac:dyDescent="0.2">
      <c r="E321" s="85"/>
    </row>
    <row r="322" spans="5:5" s="8" customFormat="1" x14ac:dyDescent="0.2">
      <c r="E322" s="85"/>
    </row>
    <row r="323" spans="5:5" s="8" customFormat="1" x14ac:dyDescent="0.2">
      <c r="E323" s="85"/>
    </row>
    <row r="324" spans="5:5" s="8" customFormat="1" x14ac:dyDescent="0.2">
      <c r="E324" s="85"/>
    </row>
    <row r="325" spans="5:5" s="8" customFormat="1" x14ac:dyDescent="0.2">
      <c r="E325" s="85"/>
    </row>
    <row r="326" spans="5:5" s="8" customFormat="1" x14ac:dyDescent="0.2">
      <c r="E326" s="85"/>
    </row>
    <row r="327" spans="5:5" s="8" customFormat="1" x14ac:dyDescent="0.2">
      <c r="E327" s="85"/>
    </row>
    <row r="328" spans="5:5" s="8" customFormat="1" x14ac:dyDescent="0.2">
      <c r="E328" s="85"/>
    </row>
    <row r="329" spans="5:5" s="8" customFormat="1" x14ac:dyDescent="0.2">
      <c r="E329" s="85"/>
    </row>
    <row r="330" spans="5:5" s="8" customFormat="1" x14ac:dyDescent="0.2">
      <c r="E330" s="85"/>
    </row>
    <row r="331" spans="5:5" s="8" customFormat="1" x14ac:dyDescent="0.2">
      <c r="E331" s="85"/>
    </row>
    <row r="332" spans="5:5" s="8" customFormat="1" x14ac:dyDescent="0.2">
      <c r="E332" s="85"/>
    </row>
    <row r="333" spans="5:5" s="8" customFormat="1" x14ac:dyDescent="0.2">
      <c r="E333" s="85"/>
    </row>
    <row r="334" spans="5:5" s="8" customFormat="1" x14ac:dyDescent="0.2">
      <c r="E334" s="85"/>
    </row>
    <row r="335" spans="5:5" s="8" customFormat="1" x14ac:dyDescent="0.2">
      <c r="E335" s="85"/>
    </row>
    <row r="336" spans="5:5" s="8" customFormat="1" x14ac:dyDescent="0.2">
      <c r="E336" s="85"/>
    </row>
    <row r="337" spans="5:5" s="8" customFormat="1" x14ac:dyDescent="0.2">
      <c r="E337" s="85"/>
    </row>
    <row r="338" spans="5:5" s="8" customFormat="1" x14ac:dyDescent="0.2">
      <c r="E338" s="85"/>
    </row>
    <row r="339" spans="5:5" s="8" customFormat="1" x14ac:dyDescent="0.2">
      <c r="E339" s="85"/>
    </row>
    <row r="340" spans="5:5" s="8" customFormat="1" x14ac:dyDescent="0.2">
      <c r="E340" s="85"/>
    </row>
    <row r="341" spans="5:5" s="8" customFormat="1" x14ac:dyDescent="0.2">
      <c r="E341" s="85"/>
    </row>
    <row r="342" spans="5:5" s="8" customFormat="1" x14ac:dyDescent="0.2">
      <c r="E342" s="85"/>
    </row>
    <row r="343" spans="5:5" s="8" customFormat="1" x14ac:dyDescent="0.2">
      <c r="E343" s="85"/>
    </row>
    <row r="344" spans="5:5" s="8" customFormat="1" x14ac:dyDescent="0.2">
      <c r="E344" s="85"/>
    </row>
  </sheetData>
  <sheetProtection algorithmName="SHA-512" hashValue="rBIlC0PVp/kugUPMcCVC98q2P6WxwDJgYRyhHazU8l1x8N7Rljy5Qe4C+fvyit1Wz4NbVzF3O99+7eslJDfWXQ==" saltValue="pry6Vo8Z7qE58toQAML5+w==" spinCount="100000" sheet="1" objects="1" scenarios="1" formatCells="0" formatColumns="0" formatRows="0"/>
  <mergeCells count="15">
    <mergeCell ref="B7:I7"/>
    <mergeCell ref="B10:I10"/>
    <mergeCell ref="B62:C62"/>
    <mergeCell ref="B64:C64"/>
    <mergeCell ref="B58:C58"/>
    <mergeCell ref="B50:C50"/>
    <mergeCell ref="B52:C52"/>
    <mergeCell ref="B56:C56"/>
    <mergeCell ref="B12:I12"/>
    <mergeCell ref="B16:I16"/>
    <mergeCell ref="B23:C23"/>
    <mergeCell ref="B28:C28"/>
    <mergeCell ref="B30:C30"/>
    <mergeCell ref="B31:C31"/>
    <mergeCell ref="B32:C32"/>
  </mergeCells>
  <dataValidations count="1">
    <dataValidation type="list" allowBlank="1" showInputMessage="1" showErrorMessage="1" sqref="C34">
      <formula1>prof_amateur</formula1>
    </dataValidation>
  </dataValidations>
  <hyperlinks>
    <hyperlink ref="B68" location="'PT8-prof&amp;amateur in situ treatm'!A1" display="Go to the top of the pag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6"/>
  <sheetViews>
    <sheetView zoomScale="83" zoomScaleNormal="106" workbookViewId="0"/>
  </sheetViews>
  <sheetFormatPr defaultColWidth="8.75" defaultRowHeight="12.75" x14ac:dyDescent="0.2"/>
  <cols>
    <col min="1" max="1" width="1.625" style="8" customWidth="1"/>
    <col min="2" max="2" width="30.625" style="11" customWidth="1"/>
    <col min="3" max="3" width="35.625" style="11" customWidth="1"/>
    <col min="4" max="4" width="1.625" style="11" customWidth="1"/>
    <col min="5" max="5" width="20.625" style="91" customWidth="1"/>
    <col min="6" max="6" width="15.625" style="11" customWidth="1"/>
    <col min="7" max="8" width="10.625" style="11" customWidth="1"/>
    <col min="9" max="9" width="50.625" style="11" customWidth="1"/>
    <col min="10" max="10" width="15.5" style="8" customWidth="1"/>
    <col min="11" max="11" width="15.625" style="8" customWidth="1"/>
    <col min="12" max="80" width="8.75" style="8"/>
    <col min="81" max="16384" width="8.75" style="11"/>
  </cols>
  <sheetData>
    <row r="1" spans="1:80" x14ac:dyDescent="0.2">
      <c r="A1" s="10"/>
      <c r="B1" s="10"/>
      <c r="C1" s="10"/>
      <c r="D1" s="10"/>
      <c r="E1" s="61"/>
      <c r="F1" s="10"/>
      <c r="G1" s="10"/>
      <c r="H1" s="10"/>
      <c r="I1" s="10"/>
      <c r="J1" s="10"/>
      <c r="K1" s="10"/>
      <c r="L1" s="10"/>
    </row>
    <row r="2" spans="1:80" ht="20.25" x14ac:dyDescent="0.2">
      <c r="A2" s="10"/>
      <c r="B2" s="64" t="s">
        <v>35</v>
      </c>
      <c r="C2" s="65"/>
      <c r="D2" s="65"/>
      <c r="E2" s="66"/>
      <c r="F2" s="10"/>
      <c r="G2" s="10"/>
      <c r="H2" s="10"/>
      <c r="I2" s="10"/>
      <c r="J2" s="10"/>
      <c r="K2" s="10"/>
      <c r="L2" s="10"/>
    </row>
    <row r="3" spans="1:80" x14ac:dyDescent="0.2">
      <c r="A3" s="10"/>
      <c r="B3" s="67"/>
      <c r="C3" s="67"/>
      <c r="D3" s="67"/>
      <c r="E3" s="68"/>
      <c r="F3" s="10"/>
      <c r="G3" s="10"/>
      <c r="H3" s="10"/>
      <c r="I3" s="10"/>
      <c r="J3" s="10"/>
      <c r="K3" s="10"/>
      <c r="L3" s="10"/>
    </row>
    <row r="4" spans="1:80" ht="15" x14ac:dyDescent="0.2">
      <c r="A4" s="10"/>
      <c r="B4" s="69"/>
      <c r="C4" s="69"/>
      <c r="D4" s="69"/>
      <c r="E4" s="70"/>
      <c r="F4" s="10"/>
      <c r="G4" s="10"/>
      <c r="H4" s="10"/>
      <c r="I4" s="10"/>
      <c r="J4" s="10"/>
      <c r="K4" s="10"/>
      <c r="L4" s="10"/>
    </row>
    <row r="5" spans="1:80" ht="40.5" customHeight="1" x14ac:dyDescent="0.2">
      <c r="A5" s="10"/>
      <c r="B5" s="368" t="s">
        <v>737</v>
      </c>
      <c r="C5" s="368"/>
      <c r="D5" s="368"/>
      <c r="E5" s="368"/>
      <c r="F5" s="368"/>
      <c r="G5" s="368"/>
      <c r="H5" s="368"/>
      <c r="I5" s="368"/>
      <c r="J5" s="10"/>
      <c r="K5" s="10"/>
      <c r="L5" s="10"/>
    </row>
    <row r="6" spans="1:80" s="75" customFormat="1" ht="13.5" thickBot="1" x14ac:dyDescent="0.25">
      <c r="A6" s="73"/>
      <c r="B6" s="33"/>
      <c r="C6" s="33"/>
      <c r="D6" s="33"/>
      <c r="E6" s="40"/>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80" s="75" customFormat="1" ht="14.25" x14ac:dyDescent="0.2">
      <c r="A7" s="73"/>
      <c r="B7" s="172" t="s">
        <v>494</v>
      </c>
      <c r="C7" s="173"/>
      <c r="D7" s="173"/>
      <c r="E7" s="174"/>
      <c r="F7" s="175"/>
      <c r="G7" s="175"/>
      <c r="H7" s="175"/>
      <c r="I7" s="1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row>
    <row r="8" spans="1:80" s="75" customFormat="1" x14ac:dyDescent="0.2">
      <c r="A8" s="73"/>
      <c r="B8" s="177"/>
      <c r="C8" s="33"/>
      <c r="D8" s="33"/>
      <c r="E8" s="40"/>
      <c r="F8" s="73"/>
      <c r="G8" s="73"/>
      <c r="H8" s="73"/>
      <c r="I8" s="149"/>
      <c r="J8" s="73"/>
      <c r="K8" s="73"/>
      <c r="L8" s="73"/>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row>
    <row r="9" spans="1:80" s="75" customFormat="1" ht="15" x14ac:dyDescent="0.2">
      <c r="A9" s="73"/>
      <c r="B9" s="202" t="s">
        <v>609</v>
      </c>
      <c r="C9" s="188"/>
      <c r="D9" s="33"/>
      <c r="E9" s="40"/>
      <c r="F9" s="73"/>
      <c r="G9" s="73"/>
      <c r="H9" s="73"/>
      <c r="I9" s="149"/>
      <c r="J9" s="59"/>
      <c r="K9" s="73"/>
      <c r="L9" s="73"/>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row>
    <row r="10" spans="1:80" s="75" customFormat="1" ht="15" x14ac:dyDescent="0.2">
      <c r="A10" s="73"/>
      <c r="B10" s="202" t="s">
        <v>610</v>
      </c>
      <c r="C10" s="188"/>
      <c r="D10" s="33"/>
      <c r="E10" s="40"/>
      <c r="F10" s="73"/>
      <c r="G10" s="73"/>
      <c r="H10" s="73"/>
      <c r="I10" s="149"/>
      <c r="J10" s="73"/>
      <c r="K10" s="73"/>
      <c r="L10" s="73"/>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80" s="75" customFormat="1" ht="15" x14ac:dyDescent="0.2">
      <c r="A11" s="73"/>
      <c r="B11" s="202" t="s">
        <v>611</v>
      </c>
      <c r="C11" s="188"/>
      <c r="D11" s="33"/>
      <c r="E11" s="40"/>
      <c r="F11" s="73"/>
      <c r="G11" s="73"/>
      <c r="H11" s="73"/>
      <c r="I11" s="149"/>
      <c r="J11" s="73"/>
      <c r="K11" s="73"/>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row>
    <row r="12" spans="1:80" s="75" customFormat="1" ht="15" x14ac:dyDescent="0.2">
      <c r="A12" s="73"/>
      <c r="B12" s="202" t="s">
        <v>612</v>
      </c>
      <c r="C12" s="188"/>
      <c r="D12" s="33"/>
      <c r="E12" s="40"/>
      <c r="F12" s="73"/>
      <c r="G12" s="73"/>
      <c r="H12" s="73"/>
      <c r="I12" s="149"/>
      <c r="J12" s="73"/>
      <c r="K12" s="73"/>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row>
    <row r="13" spans="1:80" s="75" customFormat="1" ht="15" x14ac:dyDescent="0.2">
      <c r="A13" s="73"/>
      <c r="B13" s="202"/>
      <c r="C13" s="188"/>
      <c r="D13" s="33"/>
      <c r="E13" s="40"/>
      <c r="F13" s="73"/>
      <c r="G13" s="73"/>
      <c r="H13" s="73"/>
      <c r="I13" s="149"/>
      <c r="J13" s="73"/>
      <c r="K13" s="73"/>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row>
    <row r="14" spans="1:80" s="75" customFormat="1" ht="30" customHeight="1" thickBot="1" x14ac:dyDescent="0.25">
      <c r="A14" s="73"/>
      <c r="B14" s="378" t="s">
        <v>744</v>
      </c>
      <c r="C14" s="379"/>
      <c r="D14" s="379"/>
      <c r="E14" s="379"/>
      <c r="F14" s="379"/>
      <c r="G14" s="379"/>
      <c r="H14" s="379"/>
      <c r="I14" s="380"/>
      <c r="J14" s="73"/>
      <c r="K14" s="73"/>
      <c r="L14" s="73"/>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row>
    <row r="15" spans="1:80" s="75" customFormat="1" x14ac:dyDescent="0.2">
      <c r="A15" s="73"/>
      <c r="B15" s="188"/>
      <c r="C15" s="33"/>
      <c r="D15" s="33"/>
      <c r="E15" s="40"/>
      <c r="F15" s="73"/>
      <c r="G15" s="73"/>
      <c r="H15" s="73"/>
      <c r="I15" s="73"/>
      <c r="J15" s="73"/>
      <c r="K15" s="73"/>
      <c r="L15" s="73"/>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row>
    <row r="16" spans="1:80" s="75" customFormat="1" ht="14.25" x14ac:dyDescent="0.2">
      <c r="A16" s="73"/>
      <c r="B16" s="56" t="s">
        <v>493</v>
      </c>
      <c r="C16" s="57"/>
      <c r="D16" s="57"/>
      <c r="E16" s="58"/>
      <c r="F16" s="76"/>
      <c r="G16" s="76"/>
      <c r="H16" s="76"/>
      <c r="I16" s="76"/>
      <c r="J16" s="73"/>
      <c r="K16" s="73"/>
      <c r="L16" s="73"/>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row>
    <row r="17" spans="1:45" s="8" customFormat="1" ht="33.75" customHeight="1" x14ac:dyDescent="0.2">
      <c r="B17" s="377" t="s">
        <v>885</v>
      </c>
      <c r="C17" s="372"/>
      <c r="D17" s="372"/>
      <c r="E17" s="372"/>
      <c r="F17" s="372"/>
      <c r="G17" s="372"/>
      <c r="H17" s="372"/>
      <c r="I17" s="372"/>
      <c r="J17" s="42"/>
      <c r="K17" s="42"/>
      <c r="L17" s="42"/>
    </row>
    <row r="18" spans="1:45" s="8" customFormat="1" ht="32.25" customHeight="1" x14ac:dyDescent="0.2">
      <c r="B18" s="377" t="s">
        <v>887</v>
      </c>
      <c r="C18" s="372"/>
      <c r="D18" s="372"/>
      <c r="E18" s="372"/>
      <c r="F18" s="372"/>
      <c r="G18" s="372"/>
      <c r="H18" s="372"/>
      <c r="I18" s="372"/>
      <c r="J18" s="42"/>
      <c r="K18" s="42"/>
      <c r="L18" s="42"/>
    </row>
    <row r="19" spans="1:45" s="79" customFormat="1" x14ac:dyDescent="0.2">
      <c r="B19" s="73"/>
      <c r="C19" s="109"/>
      <c r="G19" s="89"/>
      <c r="H19" s="74"/>
      <c r="I19" s="108"/>
    </row>
    <row r="20" spans="1:45" ht="15" x14ac:dyDescent="0.2">
      <c r="A20" s="10"/>
      <c r="B20" s="59" t="s">
        <v>609</v>
      </c>
      <c r="C20" s="80"/>
      <c r="D20" s="81"/>
      <c r="E20" s="81"/>
      <c r="F20" s="10"/>
      <c r="G20" s="10"/>
      <c r="H20" s="10"/>
      <c r="I20" s="10"/>
      <c r="J20" s="10"/>
      <c r="K20" s="10"/>
    </row>
    <row r="21" spans="1:45" ht="15" x14ac:dyDescent="0.2">
      <c r="A21" s="10"/>
      <c r="B21" s="59"/>
      <c r="C21" s="18"/>
      <c r="D21" s="31"/>
      <c r="E21" s="31"/>
      <c r="F21" s="31"/>
      <c r="G21" s="31"/>
      <c r="H21" s="31"/>
      <c r="I21" s="31"/>
      <c r="J21" s="10"/>
      <c r="K21" s="10"/>
      <c r="L21" s="10"/>
      <c r="M21" s="10"/>
    </row>
    <row r="22" spans="1:45" x14ac:dyDescent="0.2">
      <c r="A22" s="10"/>
      <c r="B22" s="82" t="s">
        <v>19</v>
      </c>
      <c r="C22" s="82"/>
      <c r="D22" s="82"/>
      <c r="E22" s="77"/>
      <c r="F22" s="77"/>
      <c r="G22" s="77"/>
      <c r="H22" s="77"/>
      <c r="I22" s="83"/>
      <c r="AS22" s="11"/>
    </row>
    <row r="23" spans="1:45" ht="25.15" customHeight="1" x14ac:dyDescent="0.2">
      <c r="A23" s="10"/>
      <c r="B23" s="366" t="s">
        <v>580</v>
      </c>
      <c r="C23" s="366"/>
      <c r="D23" s="366"/>
      <c r="E23" s="366"/>
      <c r="F23" s="366"/>
      <c r="G23" s="366"/>
      <c r="H23" s="366"/>
      <c r="I23" s="366"/>
      <c r="AS23" s="11"/>
    </row>
    <row r="24" spans="1:45" x14ac:dyDescent="0.2">
      <c r="A24" s="10"/>
      <c r="B24" s="366" t="s">
        <v>717</v>
      </c>
      <c r="C24" s="366"/>
      <c r="D24" s="366"/>
      <c r="E24" s="366"/>
      <c r="F24" s="366"/>
      <c r="G24" s="366"/>
      <c r="H24" s="366"/>
      <c r="I24" s="366"/>
      <c r="AS24" s="11"/>
    </row>
    <row r="25" spans="1:45" ht="14.25" x14ac:dyDescent="0.2">
      <c r="A25" s="10"/>
      <c r="B25" s="383" t="s">
        <v>718</v>
      </c>
      <c r="C25" s="383"/>
      <c r="D25" s="383"/>
      <c r="E25" s="383"/>
      <c r="F25" s="383"/>
      <c r="G25" s="383"/>
      <c r="H25" s="383"/>
      <c r="I25" s="383"/>
      <c r="AS25" s="11"/>
    </row>
    <row r="26" spans="1:45" ht="25.15" customHeight="1" x14ac:dyDescent="0.2">
      <c r="A26" s="10"/>
      <c r="B26" s="366" t="s">
        <v>964</v>
      </c>
      <c r="C26" s="366"/>
      <c r="D26" s="366"/>
      <c r="E26" s="366"/>
      <c r="F26" s="366"/>
      <c r="G26" s="366"/>
      <c r="H26" s="366"/>
      <c r="I26" s="366"/>
      <c r="AS26" s="11"/>
    </row>
    <row r="27" spans="1:45" x14ac:dyDescent="0.2">
      <c r="A27" s="10"/>
      <c r="B27" s="366" t="s">
        <v>583</v>
      </c>
      <c r="C27" s="366"/>
      <c r="D27" s="366"/>
      <c r="E27" s="366"/>
      <c r="F27" s="366"/>
      <c r="G27" s="366"/>
      <c r="H27" s="366"/>
      <c r="I27" s="366"/>
      <c r="J27" s="10"/>
      <c r="K27" s="10"/>
      <c r="L27" s="10"/>
      <c r="M27" s="10"/>
      <c r="N27" s="10"/>
      <c r="O27" s="10"/>
      <c r="P27" s="10"/>
      <c r="Q27" s="10"/>
    </row>
    <row r="28" spans="1:45" s="8" customFormat="1" ht="3" customHeight="1" x14ac:dyDescent="0.2">
      <c r="A28" s="10"/>
      <c r="D28" s="31"/>
      <c r="E28" s="32"/>
      <c r="F28" s="84"/>
      <c r="G28" s="84"/>
      <c r="H28" s="84"/>
      <c r="I28" s="10"/>
      <c r="J28" s="10"/>
      <c r="K28" s="10"/>
      <c r="L28" s="10"/>
    </row>
    <row r="29" spans="1:45" ht="15" x14ac:dyDescent="0.2">
      <c r="A29" s="10"/>
      <c r="B29" s="4" t="s">
        <v>0</v>
      </c>
      <c r="C29" s="4"/>
      <c r="D29" s="4"/>
      <c r="E29" s="12"/>
      <c r="F29" s="12"/>
      <c r="G29" s="12"/>
      <c r="H29" s="12"/>
      <c r="I29" s="13"/>
      <c r="AS29" s="11"/>
    </row>
    <row r="30" spans="1:45" x14ac:dyDescent="0.2">
      <c r="A30" s="10"/>
      <c r="B30" s="6"/>
      <c r="C30" s="6"/>
      <c r="D30" s="6"/>
      <c r="E30" s="6"/>
      <c r="F30" s="6"/>
      <c r="G30" s="6"/>
      <c r="H30" s="6"/>
      <c r="I30" s="22"/>
      <c r="AS30" s="11"/>
    </row>
    <row r="31" spans="1:45" ht="15" x14ac:dyDescent="0.2">
      <c r="A31" s="10"/>
      <c r="B31" s="14" t="s">
        <v>2</v>
      </c>
      <c r="C31" s="14"/>
      <c r="D31" s="14"/>
      <c r="E31" s="15" t="s">
        <v>4</v>
      </c>
      <c r="F31" s="16" t="s">
        <v>7</v>
      </c>
      <c r="G31" s="16" t="s">
        <v>3</v>
      </c>
      <c r="H31" s="16" t="s">
        <v>11</v>
      </c>
      <c r="I31" s="15" t="s">
        <v>34</v>
      </c>
      <c r="AS31" s="11"/>
    </row>
    <row r="32" spans="1:45" x14ac:dyDescent="0.2">
      <c r="A32" s="10"/>
      <c r="B32" s="235"/>
      <c r="C32" s="235"/>
      <c r="D32" s="235"/>
      <c r="E32" s="235"/>
      <c r="F32" s="235"/>
      <c r="G32" s="235"/>
      <c r="H32" s="235"/>
      <c r="I32" s="235"/>
      <c r="AS32" s="11"/>
    </row>
    <row r="33" spans="1:45" ht="39.950000000000003" customHeight="1" x14ac:dyDescent="0.2">
      <c r="A33" s="10"/>
      <c r="B33" s="381" t="s">
        <v>654</v>
      </c>
      <c r="C33" s="381"/>
      <c r="D33" s="381"/>
      <c r="E33" s="381"/>
      <c r="F33" s="381"/>
      <c r="G33" s="381"/>
      <c r="H33" s="381"/>
      <c r="I33" s="381"/>
      <c r="AS33" s="11"/>
    </row>
    <row r="34" spans="1:45" ht="13.5" thickBot="1" x14ac:dyDescent="0.25">
      <c r="A34" s="10"/>
      <c r="B34" s="235"/>
      <c r="C34" s="235"/>
      <c r="D34" s="235"/>
      <c r="E34" s="235"/>
      <c r="F34" s="235"/>
      <c r="G34" s="235"/>
      <c r="H34" s="235"/>
      <c r="I34" s="235"/>
      <c r="AS34" s="11"/>
    </row>
    <row r="35" spans="1:45" ht="17.25" thickTop="1" thickBot="1" x14ac:dyDescent="0.25">
      <c r="A35" s="10"/>
      <c r="B35" s="235" t="s">
        <v>655</v>
      </c>
      <c r="C35" s="313" t="s">
        <v>570</v>
      </c>
      <c r="D35" s="235"/>
      <c r="E35" s="235"/>
      <c r="F35" s="235"/>
      <c r="G35" s="235"/>
      <c r="H35" s="235"/>
      <c r="I35" s="235"/>
      <c r="AS35" s="11"/>
    </row>
    <row r="36" spans="1:45" ht="5.0999999999999996" customHeight="1" thickTop="1" x14ac:dyDescent="0.2">
      <c r="A36" s="10"/>
      <c r="B36" s="235"/>
      <c r="C36" s="235"/>
      <c r="D36" s="235"/>
      <c r="E36" s="235"/>
      <c r="F36" s="235"/>
      <c r="G36" s="235"/>
      <c r="H36" s="235"/>
      <c r="I36" s="235"/>
      <c r="AS36" s="11"/>
    </row>
    <row r="37" spans="1:45" ht="51" x14ac:dyDescent="0.2">
      <c r="A37" s="10"/>
      <c r="B37" s="362" t="s">
        <v>171</v>
      </c>
      <c r="C37" s="362"/>
      <c r="D37" s="235"/>
      <c r="E37" s="30" t="s">
        <v>180</v>
      </c>
      <c r="F37" s="315" t="str">
        <f>IF(C35="Yes",'PT8-prof&amp;amateur in situ treatm'!Clocal_soil_brush_house,0)</f>
        <v>??</v>
      </c>
      <c r="G37" s="19" t="s">
        <v>807</v>
      </c>
      <c r="H37" s="7" t="s">
        <v>8</v>
      </c>
      <c r="I37" s="235" t="s">
        <v>573</v>
      </c>
      <c r="AS37" s="11"/>
    </row>
    <row r="38" spans="1:45" ht="5.0999999999999996" customHeight="1" x14ac:dyDescent="0.2">
      <c r="A38" s="10"/>
      <c r="B38" s="104"/>
      <c r="C38" s="14"/>
      <c r="D38" s="14"/>
      <c r="E38" s="15"/>
      <c r="F38" s="16"/>
      <c r="G38" s="306"/>
      <c r="H38" s="16"/>
      <c r="I38" s="15"/>
      <c r="AS38" s="11"/>
    </row>
    <row r="39" spans="1:45" ht="15" x14ac:dyDescent="0.2">
      <c r="A39" s="10"/>
      <c r="B39" s="362" t="s">
        <v>192</v>
      </c>
      <c r="C39" s="362"/>
      <c r="D39" s="14"/>
      <c r="E39" s="30" t="s">
        <v>153</v>
      </c>
      <c r="F39" s="272">
        <v>125</v>
      </c>
      <c r="G39" s="19" t="s">
        <v>812</v>
      </c>
      <c r="H39" s="7" t="s">
        <v>13</v>
      </c>
      <c r="I39" s="15"/>
      <c r="AS39" s="11"/>
    </row>
    <row r="40" spans="1:45" ht="5.0999999999999996" customHeight="1" x14ac:dyDescent="0.2">
      <c r="A40" s="10"/>
      <c r="B40" s="104"/>
      <c r="C40" s="14"/>
      <c r="D40" s="14"/>
      <c r="E40" s="15"/>
      <c r="F40" s="275"/>
      <c r="G40" s="19"/>
      <c r="H40" s="7"/>
      <c r="I40" s="15"/>
      <c r="AS40" s="11"/>
    </row>
    <row r="41" spans="1:45" s="8" customFormat="1" x14ac:dyDescent="0.2">
      <c r="B41" s="362" t="s">
        <v>72</v>
      </c>
      <c r="C41" s="362"/>
      <c r="D41" s="34"/>
      <c r="E41" s="104" t="s">
        <v>73</v>
      </c>
      <c r="F41" s="273">
        <v>30</v>
      </c>
      <c r="G41" s="19" t="s">
        <v>10</v>
      </c>
      <c r="H41" s="7" t="s">
        <v>13</v>
      </c>
      <c r="I41" s="34"/>
    </row>
    <row r="42" spans="1:45" s="8" customFormat="1" ht="5.0999999999999996" customHeight="1" x14ac:dyDescent="0.2">
      <c r="B42" s="285"/>
      <c r="C42" s="285"/>
      <c r="D42" s="34"/>
      <c r="E42" s="285"/>
      <c r="F42" s="273"/>
      <c r="G42" s="19"/>
      <c r="H42" s="7"/>
      <c r="I42" s="34"/>
    </row>
    <row r="43" spans="1:45" s="8" customFormat="1" ht="39.950000000000003" customHeight="1" x14ac:dyDescent="0.2">
      <c r="B43" s="362" t="s">
        <v>677</v>
      </c>
      <c r="C43" s="362"/>
      <c r="D43" s="34"/>
      <c r="E43" s="285" t="s">
        <v>75</v>
      </c>
      <c r="F43" s="273">
        <v>365</v>
      </c>
      <c r="G43" s="19" t="s">
        <v>10</v>
      </c>
      <c r="H43" s="7" t="s">
        <v>13</v>
      </c>
      <c r="I43" s="146" t="s">
        <v>966</v>
      </c>
    </row>
    <row r="44" spans="1:45" s="8" customFormat="1" ht="5.0999999999999996" customHeight="1" thickBot="1" x14ac:dyDescent="0.25">
      <c r="B44" s="362"/>
      <c r="C44" s="362"/>
      <c r="D44" s="34"/>
      <c r="E44" s="22"/>
      <c r="F44" s="7"/>
      <c r="G44" s="19"/>
      <c r="H44" s="7"/>
      <c r="I44" s="34"/>
    </row>
    <row r="45" spans="1:45" s="8" customFormat="1" ht="33" customHeight="1" thickTop="1" thickBot="1" x14ac:dyDescent="0.25">
      <c r="B45" s="30" t="s">
        <v>675</v>
      </c>
      <c r="C45" s="313" t="s">
        <v>466</v>
      </c>
      <c r="D45" s="34"/>
      <c r="E45" s="22" t="s">
        <v>676</v>
      </c>
      <c r="F45" s="23" t="str">
        <f>INDEX('Pick-lists &amp; Defaults'!C104:C109,MATCH(C45,application_method_process,0))</f>
        <v>??</v>
      </c>
      <c r="G45" s="19" t="s">
        <v>10</v>
      </c>
      <c r="H45" s="7" t="s">
        <v>20</v>
      </c>
      <c r="I45" s="146" t="s">
        <v>471</v>
      </c>
    </row>
    <row r="46" spans="1:45" s="8" customFormat="1" ht="5.0999999999999996" customHeight="1" thickTop="1" x14ac:dyDescent="0.2">
      <c r="B46" s="104"/>
      <c r="C46" s="104"/>
      <c r="D46" s="104"/>
      <c r="E46" s="30"/>
      <c r="F46" s="7"/>
      <c r="G46" s="19"/>
      <c r="H46" s="7"/>
      <c r="I46" s="7"/>
    </row>
    <row r="47" spans="1:45" s="8" customFormat="1" ht="30" customHeight="1" x14ac:dyDescent="0.2">
      <c r="B47" s="362" t="s">
        <v>193</v>
      </c>
      <c r="C47" s="362"/>
      <c r="D47" s="34"/>
      <c r="E47" s="104" t="s">
        <v>194</v>
      </c>
      <c r="F47" s="274"/>
      <c r="G47" s="19" t="s">
        <v>813</v>
      </c>
      <c r="H47" s="7" t="s">
        <v>6</v>
      </c>
      <c r="I47" s="34"/>
    </row>
    <row r="48" spans="1:45" s="8" customFormat="1" ht="5.0999999999999996" customHeight="1" x14ac:dyDescent="0.2">
      <c r="B48" s="285"/>
      <c r="C48" s="285"/>
      <c r="D48" s="34"/>
      <c r="E48" s="285"/>
      <c r="F48" s="285"/>
      <c r="G48" s="19"/>
      <c r="H48" s="7"/>
      <c r="I48" s="34"/>
    </row>
    <row r="49" spans="1:9" s="8" customFormat="1" ht="30" customHeight="1" x14ac:dyDescent="0.2">
      <c r="B49" s="362" t="s">
        <v>683</v>
      </c>
      <c r="C49" s="362"/>
      <c r="D49" s="34"/>
      <c r="E49" s="285" t="s">
        <v>196</v>
      </c>
      <c r="F49" s="274"/>
      <c r="G49" s="19" t="s">
        <v>813</v>
      </c>
      <c r="H49" s="7" t="s">
        <v>6</v>
      </c>
      <c r="I49" s="34"/>
    </row>
    <row r="50" spans="1:9" s="8" customFormat="1" ht="5.0999999999999996" customHeight="1" x14ac:dyDescent="0.2">
      <c r="B50" s="285"/>
      <c r="C50" s="285"/>
      <c r="D50" s="34"/>
      <c r="E50" s="285"/>
      <c r="F50" s="285"/>
      <c r="G50" s="19"/>
      <c r="H50" s="7"/>
      <c r="I50" s="34"/>
    </row>
    <row r="51" spans="1:9" s="8" customFormat="1" ht="30" customHeight="1" x14ac:dyDescent="0.2">
      <c r="B51" s="362" t="s">
        <v>195</v>
      </c>
      <c r="C51" s="362"/>
      <c r="D51" s="34"/>
      <c r="E51" s="104" t="s">
        <v>684</v>
      </c>
      <c r="F51" s="274"/>
      <c r="G51" s="19" t="s">
        <v>813</v>
      </c>
      <c r="H51" s="7" t="s">
        <v>6</v>
      </c>
      <c r="I51" s="92"/>
    </row>
    <row r="52" spans="1:9" s="8" customFormat="1" ht="5.0999999999999996" customHeight="1" x14ac:dyDescent="0.2">
      <c r="B52" s="104"/>
      <c r="C52" s="104"/>
      <c r="D52" s="34"/>
      <c r="E52" s="22"/>
      <c r="F52" s="7"/>
      <c r="G52" s="19"/>
      <c r="H52" s="7"/>
      <c r="I52" s="34"/>
    </row>
    <row r="53" spans="1:9" s="8" customFormat="1" ht="15" x14ac:dyDescent="0.2">
      <c r="B53" s="104" t="s">
        <v>197</v>
      </c>
      <c r="C53" s="104"/>
      <c r="D53" s="34"/>
      <c r="E53" s="22" t="s">
        <v>23</v>
      </c>
      <c r="F53" s="273">
        <v>13</v>
      </c>
      <c r="G53" s="19" t="s">
        <v>285</v>
      </c>
      <c r="H53" s="7" t="s">
        <v>13</v>
      </c>
      <c r="I53" s="107"/>
    </row>
    <row r="54" spans="1:9" s="8" customFormat="1" ht="5.0999999999999996" customHeight="1" x14ac:dyDescent="0.2">
      <c r="B54" s="104"/>
      <c r="C54" s="104"/>
      <c r="D54" s="34"/>
      <c r="E54" s="22"/>
      <c r="F54" s="273"/>
      <c r="G54" s="19"/>
      <c r="H54" s="7"/>
      <c r="I54" s="34"/>
    </row>
    <row r="55" spans="1:9" s="8" customFormat="1" ht="15" x14ac:dyDescent="0.2">
      <c r="B55" s="104" t="s">
        <v>25</v>
      </c>
      <c r="C55" s="104"/>
      <c r="D55" s="34"/>
      <c r="E55" s="22" t="s">
        <v>30</v>
      </c>
      <c r="F55" s="273">
        <v>1700</v>
      </c>
      <c r="G55" s="19" t="s">
        <v>169</v>
      </c>
      <c r="H55" s="7" t="s">
        <v>13</v>
      </c>
      <c r="I55" s="34"/>
    </row>
    <row r="56" spans="1:9" s="8" customFormat="1" x14ac:dyDescent="0.2">
      <c r="B56" s="171"/>
      <c r="C56" s="171"/>
      <c r="D56" s="34"/>
      <c r="E56" s="22"/>
      <c r="F56" s="7"/>
      <c r="G56" s="19"/>
      <c r="H56" s="7"/>
      <c r="I56" s="34"/>
    </row>
    <row r="57" spans="1:9" s="8" customFormat="1" x14ac:dyDescent="0.2">
      <c r="B57" s="365" t="s">
        <v>558</v>
      </c>
      <c r="C57" s="365"/>
      <c r="D57" s="365"/>
      <c r="E57" s="365"/>
      <c r="F57" s="365"/>
      <c r="G57" s="365"/>
      <c r="H57" s="365"/>
      <c r="I57" s="365"/>
    </row>
    <row r="58" spans="1:9" s="8" customFormat="1" x14ac:dyDescent="0.2">
      <c r="B58" s="171"/>
      <c r="C58" s="171"/>
      <c r="D58" s="34"/>
      <c r="E58" s="22"/>
      <c r="F58" s="7"/>
      <c r="G58" s="19"/>
      <c r="H58" s="7"/>
      <c r="I58" s="34"/>
    </row>
    <row r="59" spans="1:9" s="8" customFormat="1" ht="15" x14ac:dyDescent="0.2">
      <c r="B59" s="362" t="s">
        <v>448</v>
      </c>
      <c r="C59" s="362"/>
      <c r="D59" s="14"/>
      <c r="E59" s="30" t="s">
        <v>449</v>
      </c>
      <c r="F59" s="274"/>
      <c r="G59" s="7" t="s">
        <v>450</v>
      </c>
      <c r="H59" s="7" t="s">
        <v>6</v>
      </c>
      <c r="I59" s="34"/>
    </row>
    <row r="60" spans="1:9" s="8" customFormat="1" ht="5.0999999999999996" customHeight="1" x14ac:dyDescent="0.2">
      <c r="B60" s="171"/>
      <c r="C60" s="171"/>
      <c r="D60" s="34"/>
      <c r="E60" s="22"/>
      <c r="F60" s="273"/>
      <c r="G60" s="19"/>
      <c r="H60" s="7"/>
      <c r="I60" s="34"/>
    </row>
    <row r="61" spans="1:9" s="8" customFormat="1" ht="15" x14ac:dyDescent="0.2">
      <c r="B61" s="362" t="s">
        <v>442</v>
      </c>
      <c r="C61" s="362"/>
      <c r="D61" s="34"/>
      <c r="E61" s="22" t="s">
        <v>653</v>
      </c>
      <c r="F61" s="326"/>
      <c r="G61" s="19" t="s">
        <v>443</v>
      </c>
      <c r="H61" s="7" t="s">
        <v>6</v>
      </c>
      <c r="I61" s="34"/>
    </row>
    <row r="62" spans="1:9" s="8" customFormat="1" x14ac:dyDescent="0.2">
      <c r="B62" s="104"/>
      <c r="C62" s="104"/>
      <c r="D62" s="34"/>
      <c r="E62" s="22"/>
      <c r="F62" s="7"/>
      <c r="G62" s="19"/>
      <c r="H62" s="7"/>
      <c r="I62" s="34"/>
    </row>
    <row r="63" spans="1:9" ht="15" x14ac:dyDescent="0.2">
      <c r="A63" s="10"/>
      <c r="B63" s="4" t="s">
        <v>1</v>
      </c>
      <c r="C63" s="4"/>
      <c r="D63" s="4"/>
      <c r="E63" s="4"/>
      <c r="F63" s="12"/>
      <c r="G63" s="12"/>
      <c r="H63" s="12"/>
      <c r="I63" s="12"/>
    </row>
    <row r="64" spans="1:9" x14ac:dyDescent="0.2">
      <c r="A64" s="10"/>
      <c r="B64" s="6"/>
      <c r="C64" s="6"/>
      <c r="D64" s="6"/>
      <c r="E64" s="6"/>
      <c r="F64" s="6"/>
      <c r="G64" s="6"/>
      <c r="H64" s="6"/>
      <c r="I64" s="6"/>
    </row>
    <row r="65" spans="1:9" ht="15" x14ac:dyDescent="0.2">
      <c r="A65" s="10"/>
      <c r="B65" s="14" t="s">
        <v>2</v>
      </c>
      <c r="C65" s="14"/>
      <c r="D65" s="14"/>
      <c r="E65" s="15" t="s">
        <v>4</v>
      </c>
      <c r="F65" s="16" t="s">
        <v>7</v>
      </c>
      <c r="G65" s="16" t="s">
        <v>3</v>
      </c>
      <c r="H65" s="16" t="s">
        <v>11</v>
      </c>
      <c r="I65" s="15" t="s">
        <v>34</v>
      </c>
    </row>
    <row r="66" spans="1:9" x14ac:dyDescent="0.2">
      <c r="A66" s="10"/>
      <c r="B66" s="14"/>
      <c r="C66" s="14"/>
      <c r="D66" s="14"/>
      <c r="E66" s="15"/>
      <c r="F66" s="16"/>
      <c r="G66" s="16"/>
      <c r="H66" s="16"/>
      <c r="I66" s="15"/>
    </row>
    <row r="67" spans="1:9" s="8" customFormat="1" ht="15" x14ac:dyDescent="0.2">
      <c r="A67" s="10"/>
      <c r="B67" s="362" t="s">
        <v>198</v>
      </c>
      <c r="C67" s="362"/>
      <c r="D67" s="30"/>
      <c r="E67" s="30" t="s">
        <v>202</v>
      </c>
      <c r="F67" s="228" t="str">
        <f>IF(ISNUMBER(Q_leach_TIME1_house),AREAhouse*Q_leach_TIME1_house,"??")</f>
        <v>??</v>
      </c>
      <c r="G67" s="19" t="s">
        <v>794</v>
      </c>
      <c r="H67" s="7" t="s">
        <v>8</v>
      </c>
      <c r="I67" s="126" t="s">
        <v>206</v>
      </c>
    </row>
    <row r="68" spans="1:9" s="8" customFormat="1" ht="5.0999999999999996" customHeight="1" x14ac:dyDescent="0.2">
      <c r="A68" s="10"/>
      <c r="B68" s="285"/>
      <c r="C68" s="285"/>
      <c r="D68" s="30"/>
      <c r="E68" s="30"/>
      <c r="F68" s="30"/>
      <c r="G68" s="19"/>
      <c r="H68" s="7"/>
      <c r="I68" s="126"/>
    </row>
    <row r="69" spans="1:9" s="8" customFormat="1" ht="24.95" customHeight="1" x14ac:dyDescent="0.2">
      <c r="A69" s="10"/>
      <c r="B69" s="362" t="s">
        <v>703</v>
      </c>
      <c r="C69" s="362"/>
      <c r="D69" s="30"/>
      <c r="E69" s="30" t="s">
        <v>203</v>
      </c>
      <c r="F69" s="228" t="str">
        <f>IF(ISNUMBER(Q_leach_TIME2_house),AREAhouse*Q_leach_TIME2_house,"??")</f>
        <v>??</v>
      </c>
      <c r="G69" s="19" t="s">
        <v>794</v>
      </c>
      <c r="H69" s="7" t="s">
        <v>8</v>
      </c>
      <c r="I69" s="126" t="s">
        <v>207</v>
      </c>
    </row>
    <row r="70" spans="1:9" s="8" customFormat="1" ht="5.0999999999999996" customHeight="1" x14ac:dyDescent="0.2">
      <c r="A70" s="10"/>
      <c r="B70" s="152"/>
      <c r="C70" s="152"/>
      <c r="D70" s="152"/>
      <c r="E70" s="30"/>
      <c r="F70" s="30"/>
      <c r="G70" s="19"/>
      <c r="H70" s="7"/>
      <c r="I70" s="20"/>
    </row>
    <row r="71" spans="1:9" s="8" customFormat="1" ht="15" x14ac:dyDescent="0.2">
      <c r="A71" s="10"/>
      <c r="B71" s="362" t="s">
        <v>199</v>
      </c>
      <c r="C71" s="362"/>
      <c r="D71" s="30"/>
      <c r="E71" s="30" t="s">
        <v>678</v>
      </c>
      <c r="F71" s="228" t="str">
        <f>IF(ISNUMBER(Q_leach_TIME3_house),AREAhouse*Q_leach_TIME3_house,"??")</f>
        <v>??</v>
      </c>
      <c r="G71" s="19" t="s">
        <v>794</v>
      </c>
      <c r="H71" s="7" t="s">
        <v>8</v>
      </c>
      <c r="I71" s="126" t="s">
        <v>679</v>
      </c>
    </row>
    <row r="72" spans="1:9" x14ac:dyDescent="0.2">
      <c r="A72" s="10"/>
      <c r="B72" s="14"/>
      <c r="C72" s="14"/>
      <c r="D72" s="14"/>
      <c r="E72" s="15"/>
      <c r="F72" s="16"/>
      <c r="G72" s="16"/>
      <c r="H72" s="16"/>
      <c r="I72" s="15"/>
    </row>
    <row r="73" spans="1:9" s="8" customFormat="1" ht="24.95" customHeight="1" x14ac:dyDescent="0.2">
      <c r="A73" s="10"/>
      <c r="B73" s="362" t="s">
        <v>491</v>
      </c>
      <c r="C73" s="362"/>
      <c r="D73" s="30"/>
      <c r="E73" s="30" t="s">
        <v>452</v>
      </c>
      <c r="F73" s="228" t="str">
        <f>IF(ISNUMBER(Q_leach_TIME1_house),AREAhouse*Q_leach_TIME1_house/TIME1_house,"??")</f>
        <v>??</v>
      </c>
      <c r="G73" s="19" t="s">
        <v>814</v>
      </c>
      <c r="H73" s="7" t="s">
        <v>8</v>
      </c>
      <c r="I73" s="146" t="s">
        <v>497</v>
      </c>
    </row>
    <row r="74" spans="1:9" s="8" customFormat="1" ht="5.0999999999999996" customHeight="1" x14ac:dyDescent="0.2">
      <c r="A74" s="10"/>
      <c r="B74" s="171"/>
      <c r="C74" s="171"/>
      <c r="D74" s="171"/>
      <c r="E74" s="30"/>
      <c r="F74" s="147"/>
      <c r="G74" s="19"/>
      <c r="H74" s="7"/>
      <c r="I74" s="146"/>
    </row>
    <row r="75" spans="1:9" s="8" customFormat="1" ht="24.95" customHeight="1" x14ac:dyDescent="0.2">
      <c r="A75" s="10"/>
      <c r="B75" s="362" t="s">
        <v>688</v>
      </c>
      <c r="C75" s="362"/>
      <c r="D75" s="30"/>
      <c r="E75" s="30" t="s">
        <v>453</v>
      </c>
      <c r="F75" s="228" t="str">
        <f>IF(ISNUMBER(Q_leach_TIME2_house),AREAhouse*Q_leach_TIME2_house/TIME2_house,"??")</f>
        <v>??</v>
      </c>
      <c r="G75" s="19" t="s">
        <v>814</v>
      </c>
      <c r="H75" s="7" t="s">
        <v>8</v>
      </c>
      <c r="I75" s="146" t="s">
        <v>498</v>
      </c>
    </row>
    <row r="76" spans="1:9" s="8" customFormat="1" ht="5.0999999999999996" customHeight="1" x14ac:dyDescent="0.2">
      <c r="A76" s="10"/>
      <c r="B76" s="288"/>
      <c r="C76" s="288"/>
      <c r="D76" s="288"/>
      <c r="E76" s="30"/>
      <c r="F76" s="289"/>
      <c r="G76" s="19"/>
      <c r="H76" s="7"/>
      <c r="I76" s="146"/>
    </row>
    <row r="77" spans="1:9" s="8" customFormat="1" ht="24.95" customHeight="1" x14ac:dyDescent="0.2">
      <c r="A77" s="10"/>
      <c r="B77" s="362" t="s">
        <v>492</v>
      </c>
      <c r="C77" s="362"/>
      <c r="D77" s="171"/>
      <c r="E77" s="30" t="s">
        <v>689</v>
      </c>
      <c r="F77" s="228" t="str">
        <f>IF(AND(ISNUMBER(Q_leach_TIME3_house),ISNUMBER(TIME3_house)),AREAhouse*Q_leach_TIME3_house/TIME3_house,"??")</f>
        <v>??</v>
      </c>
      <c r="G77" s="19" t="s">
        <v>814</v>
      </c>
      <c r="H77" s="7" t="s">
        <v>8</v>
      </c>
      <c r="I77" s="146" t="s">
        <v>690</v>
      </c>
    </row>
    <row r="78" spans="1:9" x14ac:dyDescent="0.2">
      <c r="A78" s="10"/>
      <c r="B78" s="14"/>
      <c r="C78" s="14"/>
      <c r="D78" s="14"/>
      <c r="E78" s="15"/>
      <c r="F78" s="16"/>
      <c r="G78" s="16"/>
      <c r="H78" s="16"/>
      <c r="I78" s="15"/>
    </row>
    <row r="79" spans="1:9" ht="15" x14ac:dyDescent="0.2">
      <c r="A79" s="10"/>
      <c r="B79" s="382" t="s">
        <v>596</v>
      </c>
      <c r="C79" s="382"/>
      <c r="D79" s="382"/>
      <c r="E79" s="382"/>
      <c r="F79" s="382"/>
      <c r="G79" s="382"/>
      <c r="H79" s="382"/>
      <c r="I79" s="382"/>
    </row>
    <row r="80" spans="1:9" x14ac:dyDescent="0.2">
      <c r="A80" s="10"/>
      <c r="B80" s="14"/>
      <c r="C80" s="14"/>
      <c r="D80" s="14"/>
      <c r="E80" s="15"/>
      <c r="F80" s="16"/>
      <c r="G80" s="16"/>
      <c r="H80" s="16"/>
      <c r="I80" s="15"/>
    </row>
    <row r="81" spans="1:66" s="8" customFormat="1" ht="15" x14ac:dyDescent="0.2">
      <c r="A81" s="10"/>
      <c r="B81" s="362" t="s">
        <v>200</v>
      </c>
      <c r="C81" s="362"/>
      <c r="D81" s="30"/>
      <c r="E81" s="30" t="s">
        <v>204</v>
      </c>
      <c r="F81" s="228" t="str">
        <f>IF(ISNUMBER(QleachTIME1_house),QleachTIME1_house/(Vsoil_house*RHOsoil_house),"??")</f>
        <v>??</v>
      </c>
      <c r="G81" s="19" t="s">
        <v>807</v>
      </c>
      <c r="H81" s="7" t="s">
        <v>8</v>
      </c>
      <c r="I81" s="20" t="s">
        <v>209</v>
      </c>
    </row>
    <row r="82" spans="1:66" s="8" customFormat="1" ht="5.0999999999999996" customHeight="1" x14ac:dyDescent="0.2">
      <c r="A82" s="10"/>
      <c r="B82" s="285"/>
      <c r="C82" s="285"/>
      <c r="D82" s="30"/>
      <c r="E82" s="30"/>
      <c r="F82" s="30"/>
      <c r="G82" s="19"/>
      <c r="H82" s="7"/>
      <c r="I82" s="20"/>
    </row>
    <row r="83" spans="1:66" s="8" customFormat="1" ht="15" x14ac:dyDescent="0.2">
      <c r="A83" s="10"/>
      <c r="B83" s="362" t="s">
        <v>682</v>
      </c>
      <c r="C83" s="362"/>
      <c r="D83" s="30"/>
      <c r="E83" s="30" t="s">
        <v>205</v>
      </c>
      <c r="F83" s="228" t="str">
        <f>IF(ISNUMBER(QleachTIME2_house),QleachTIME2_house/(Vsoil_house*RHOsoil_house),"??")</f>
        <v>??</v>
      </c>
      <c r="G83" s="19" t="s">
        <v>807</v>
      </c>
      <c r="H83" s="7" t="s">
        <v>8</v>
      </c>
      <c r="I83" s="20" t="s">
        <v>208</v>
      </c>
    </row>
    <row r="84" spans="1:66" s="8" customFormat="1" ht="5.0999999999999996" customHeight="1" x14ac:dyDescent="0.2">
      <c r="A84" s="10"/>
      <c r="B84" s="285"/>
      <c r="C84" s="285"/>
      <c r="D84" s="30"/>
      <c r="E84" s="30"/>
      <c r="F84" s="30"/>
      <c r="G84" s="19"/>
      <c r="H84" s="7"/>
      <c r="I84" s="20"/>
    </row>
    <row r="85" spans="1:66" s="8" customFormat="1" ht="15" x14ac:dyDescent="0.2">
      <c r="A85" s="10"/>
      <c r="B85" s="362" t="s">
        <v>201</v>
      </c>
      <c r="C85" s="362"/>
      <c r="D85" s="30"/>
      <c r="E85" s="30" t="s">
        <v>681</v>
      </c>
      <c r="F85" s="228" t="str">
        <f>IF(ISNUMBER(QleachTIME3_house),QleachTIME3_house/(Vsoil_house*RHOsoil_house),"??")</f>
        <v>??</v>
      </c>
      <c r="G85" s="19" t="s">
        <v>807</v>
      </c>
      <c r="H85" s="7" t="s">
        <v>8</v>
      </c>
      <c r="I85" s="20" t="s">
        <v>680</v>
      </c>
    </row>
    <row r="86" spans="1:66" s="8" customFormat="1" x14ac:dyDescent="0.2">
      <c r="A86" s="10"/>
      <c r="B86" s="235"/>
      <c r="C86" s="235"/>
      <c r="D86" s="30"/>
      <c r="E86" s="30"/>
      <c r="F86" s="16"/>
      <c r="G86" s="7"/>
      <c r="H86" s="7"/>
      <c r="I86" s="20"/>
    </row>
    <row r="87" spans="1:66" s="8" customFormat="1" x14ac:dyDescent="0.2">
      <c r="A87" s="10"/>
      <c r="B87" s="381" t="s">
        <v>575</v>
      </c>
      <c r="C87" s="381"/>
      <c r="D87" s="381"/>
      <c r="E87" s="381"/>
      <c r="F87" s="381"/>
      <c r="G87" s="381"/>
      <c r="H87" s="381"/>
      <c r="I87" s="381"/>
    </row>
    <row r="88" spans="1:66" s="8" customFormat="1" ht="3" customHeight="1" x14ac:dyDescent="0.2">
      <c r="A88" s="10"/>
      <c r="B88" s="235"/>
      <c r="C88" s="235"/>
      <c r="D88" s="30"/>
      <c r="E88" s="30"/>
      <c r="F88" s="16"/>
      <c r="G88" s="19"/>
      <c r="H88" s="7"/>
      <c r="I88" s="20"/>
    </row>
    <row r="89" spans="1:66" s="8" customFormat="1" ht="15" x14ac:dyDescent="0.2">
      <c r="A89" s="10"/>
      <c r="B89" s="362" t="s">
        <v>564</v>
      </c>
      <c r="C89" s="362"/>
      <c r="D89" s="30"/>
      <c r="E89" s="30" t="s">
        <v>566</v>
      </c>
      <c r="F89" s="228" t="str">
        <f>IF(Clocal_soil_brush_house=0, Clocal_soil_leach_TIME1_house, IF(ISNUMBER(Clocal_soil_brush_house),Clocal_soil_brush_house+Clocal_soil_leach_TIME1_house,"??"))</f>
        <v>??</v>
      </c>
      <c r="G89" s="19" t="s">
        <v>807</v>
      </c>
      <c r="H89" s="7" t="s">
        <v>8</v>
      </c>
      <c r="I89" s="20" t="s">
        <v>576</v>
      </c>
    </row>
    <row r="90" spans="1:66" s="8" customFormat="1" ht="5.0999999999999996" customHeight="1" x14ac:dyDescent="0.2">
      <c r="A90" s="10"/>
      <c r="B90" s="235"/>
      <c r="C90" s="235"/>
      <c r="D90" s="30"/>
      <c r="E90" s="30"/>
      <c r="F90" s="16"/>
      <c r="G90" s="19"/>
      <c r="H90" s="7"/>
      <c r="I90" s="20"/>
    </row>
    <row r="91" spans="1:66" s="8" customFormat="1" ht="15" x14ac:dyDescent="0.2">
      <c r="A91" s="10"/>
      <c r="B91" s="362" t="s">
        <v>685</v>
      </c>
      <c r="C91" s="362"/>
      <c r="D91" s="30"/>
      <c r="E91" s="30" t="s">
        <v>567</v>
      </c>
      <c r="F91" s="228" t="str">
        <f>IF(Clocal_soil_brush_house=0, Clocal_soil_leach_TIME2_house, IF(ISNUMBER(Clocal_soil_brush_house),Clocal_soil_brush_house+Clocal_soil_leach_TIME2_house,"??"))</f>
        <v>??</v>
      </c>
      <c r="G91" s="19" t="s">
        <v>807</v>
      </c>
      <c r="H91" s="7" t="s">
        <v>8</v>
      </c>
      <c r="I91" s="20" t="s">
        <v>577</v>
      </c>
    </row>
    <row r="92" spans="1:66" s="8" customFormat="1" ht="5.0999999999999996" customHeight="1" x14ac:dyDescent="0.2">
      <c r="A92" s="10"/>
      <c r="B92" s="288"/>
      <c r="C92" s="288"/>
      <c r="D92" s="30"/>
      <c r="E92" s="30"/>
      <c r="F92" s="16"/>
      <c r="G92" s="19"/>
      <c r="H92" s="7"/>
      <c r="I92" s="20"/>
    </row>
    <row r="93" spans="1:66" s="8" customFormat="1" ht="15" x14ac:dyDescent="0.2">
      <c r="A93" s="10"/>
      <c r="B93" s="362" t="s">
        <v>565</v>
      </c>
      <c r="C93" s="362"/>
      <c r="D93" s="30"/>
      <c r="E93" s="30" t="s">
        <v>686</v>
      </c>
      <c r="F93" s="228" t="str">
        <f>IF(Clocal_soil_brush_house=0, Clocal_soil_leach_TIME3_house, IF(ISNUMBER(Clocal_soil_brush_house),Clocal_soil_brush_house+Clocal_soil_leach_TIME3_house,"??"))</f>
        <v>??</v>
      </c>
      <c r="G93" s="19" t="s">
        <v>807</v>
      </c>
      <c r="H93" s="7" t="s">
        <v>8</v>
      </c>
      <c r="I93" s="20" t="s">
        <v>687</v>
      </c>
    </row>
    <row r="94" spans="1:66" s="8" customFormat="1" x14ac:dyDescent="0.2">
      <c r="A94" s="10"/>
      <c r="B94" s="104"/>
      <c r="C94" s="104"/>
      <c r="D94" s="104"/>
      <c r="E94" s="30"/>
      <c r="F94" s="16"/>
      <c r="G94" s="7"/>
      <c r="H94" s="7"/>
      <c r="I94" s="20"/>
    </row>
    <row r="95" spans="1:66" s="8" customFormat="1" ht="15" x14ac:dyDescent="0.2">
      <c r="A95" s="10"/>
      <c r="B95" s="382" t="s">
        <v>559</v>
      </c>
      <c r="C95" s="382"/>
      <c r="D95" s="382"/>
      <c r="E95" s="382"/>
      <c r="F95" s="382"/>
      <c r="G95" s="382"/>
      <c r="H95" s="382"/>
      <c r="I95" s="382"/>
      <c r="J95" s="170"/>
      <c r="AT95" s="10"/>
      <c r="AU95" s="10"/>
      <c r="AV95" s="10"/>
      <c r="AW95" s="10"/>
      <c r="AX95" s="10"/>
      <c r="AY95" s="10"/>
      <c r="AZ95" s="10"/>
      <c r="BA95" s="10"/>
      <c r="BB95" s="10"/>
      <c r="BC95" s="10"/>
      <c r="BD95" s="10"/>
      <c r="BE95" s="10"/>
      <c r="BF95" s="10"/>
      <c r="BG95" s="10"/>
      <c r="BH95" s="10"/>
      <c r="BI95" s="10"/>
      <c r="BJ95" s="10"/>
      <c r="BK95" s="10"/>
      <c r="BL95" s="10"/>
      <c r="BM95" s="10"/>
      <c r="BN95" s="10"/>
    </row>
    <row r="96" spans="1:66" s="8" customFormat="1" ht="13.9" customHeight="1" x14ac:dyDescent="0.2">
      <c r="A96" s="10"/>
      <c r="B96" s="147"/>
      <c r="C96" s="147"/>
      <c r="D96" s="147"/>
      <c r="E96" s="147"/>
      <c r="F96" s="147"/>
      <c r="G96" s="7"/>
      <c r="H96" s="7"/>
      <c r="I96" s="20"/>
    </row>
    <row r="97" spans="1:9" s="8" customFormat="1" ht="43.5" x14ac:dyDescent="0.2">
      <c r="A97" s="10"/>
      <c r="B97" s="362" t="s">
        <v>562</v>
      </c>
      <c r="C97" s="362"/>
      <c r="D97" s="235"/>
      <c r="E97" s="30" t="s">
        <v>454</v>
      </c>
      <c r="F97" s="228" t="str">
        <f>IF(AND(ISNUMBER(Esoil_leach_TIME1_house),ISNUMBER(k_soil),ISNUMBER(Clocal_soil_brush_house)),Esoil_leach_TIME1_house/(Vsoil_house*RHOsoil_house*k_soil)-(Esoil_leach_TIME1_house/(Vsoil_house*RHOsoil_house*k_soil)-Clocal_soil_brush_house)*EXP(-TIME1_house*k_soil),"??")</f>
        <v>??</v>
      </c>
      <c r="G97" s="19" t="s">
        <v>807</v>
      </c>
      <c r="H97" s="7" t="s">
        <v>8</v>
      </c>
      <c r="I97" s="146" t="s">
        <v>578</v>
      </c>
    </row>
    <row r="98" spans="1:9" s="8" customFormat="1" ht="5.0999999999999996" customHeight="1" x14ac:dyDescent="0.2">
      <c r="A98" s="10"/>
      <c r="B98" s="288"/>
      <c r="C98" s="288"/>
      <c r="D98" s="288"/>
      <c r="E98" s="30"/>
      <c r="F98" s="289"/>
      <c r="G98" s="19"/>
      <c r="H98" s="7"/>
      <c r="I98" s="146"/>
    </row>
    <row r="99" spans="1:9" s="8" customFormat="1" ht="43.5" x14ac:dyDescent="0.2">
      <c r="A99" s="10"/>
      <c r="B99" s="362" t="s">
        <v>700</v>
      </c>
      <c r="C99" s="362"/>
      <c r="D99" s="288"/>
      <c r="E99" s="30" t="s">
        <v>455</v>
      </c>
      <c r="F99" s="228" t="str">
        <f>IF(AND(ISNUMBER(Esoil_leach_TIME2_house),ISNUMBER(k_soil),ISNUMBER(Clocal_soil_brush_house)),Esoil_leach_TIME2_house/(Vsoil_house*RHOsoil_house*k_soil)-(Esoil_leach_TIME2_house/(Vsoil_house*RHOsoil_house*k_soil)-Clocal_soil_brush_house)*EXP(-TIME2_house*k_soil),"??")</f>
        <v>??</v>
      </c>
      <c r="G99" s="19" t="s">
        <v>807</v>
      </c>
      <c r="H99" s="7" t="s">
        <v>8</v>
      </c>
      <c r="I99" s="146" t="s">
        <v>579</v>
      </c>
    </row>
    <row r="100" spans="1:9" s="8" customFormat="1" ht="5.0999999999999996" customHeight="1" x14ac:dyDescent="0.2">
      <c r="A100" s="10"/>
      <c r="B100" s="235"/>
      <c r="C100" s="235"/>
      <c r="D100" s="235"/>
      <c r="E100" s="30"/>
      <c r="F100" s="236"/>
      <c r="G100" s="19"/>
      <c r="H100" s="7"/>
      <c r="I100" s="146"/>
    </row>
    <row r="101" spans="1:9" s="8" customFormat="1" ht="43.5" x14ac:dyDescent="0.2">
      <c r="A101" s="10"/>
      <c r="B101" s="362" t="s">
        <v>563</v>
      </c>
      <c r="C101" s="362"/>
      <c r="D101" s="235"/>
      <c r="E101" s="30" t="s">
        <v>691</v>
      </c>
      <c r="F101" s="228" t="str">
        <f>IF(AND(ISNUMBER(Esoil_leach_TIME3_house),ISNUMBER(k_soil),ISNUMBER(Clocal_soil_brush_house),ISNUMBER(TIME3_house)),Esoil_leach_TIME3_house/(Vsoil_house*RHOsoil_house*k_soil)-(Esoil_leach_TIME3_house/(Vsoil_house*RHOsoil_house*k_soil)-Clocal_soil_brush_house)*EXP(-TIME3_house*k_soil),"??")</f>
        <v>??</v>
      </c>
      <c r="G101" s="19" t="s">
        <v>807</v>
      </c>
      <c r="H101" s="7" t="s">
        <v>8</v>
      </c>
      <c r="I101" s="146" t="s">
        <v>758</v>
      </c>
    </row>
    <row r="102" spans="1:9" s="8" customFormat="1" ht="5.0999999999999996" customHeight="1" x14ac:dyDescent="0.2">
      <c r="A102" s="10"/>
      <c r="B102" s="235"/>
      <c r="C102" s="235"/>
      <c r="D102" s="235"/>
      <c r="E102" s="30"/>
      <c r="F102" s="236"/>
      <c r="G102" s="19"/>
      <c r="H102" s="7"/>
      <c r="I102" s="146"/>
    </row>
    <row r="103" spans="1:9" s="8" customFormat="1" ht="15" x14ac:dyDescent="0.2">
      <c r="A103" s="10"/>
      <c r="B103" s="362" t="s">
        <v>560</v>
      </c>
      <c r="C103" s="362"/>
      <c r="D103" s="235"/>
      <c r="E103" s="30" t="s">
        <v>456</v>
      </c>
      <c r="F103" s="228" t="str">
        <f>IF(AND(ISNUMBER(Clocal_soil_TIME1_house),ISNUMBER(Ksoil_water)),Clocal_soil_TIME1_house*RHOsoil_house*0.001/Ksoil_water,"??")</f>
        <v>??</v>
      </c>
      <c r="G103" s="19" t="s">
        <v>810</v>
      </c>
      <c r="H103" s="7" t="s">
        <v>8</v>
      </c>
      <c r="I103" s="146" t="s">
        <v>801</v>
      </c>
    </row>
    <row r="104" spans="1:9" s="8" customFormat="1" ht="5.0999999999999996" customHeight="1" x14ac:dyDescent="0.2">
      <c r="A104" s="10"/>
      <c r="B104" s="235"/>
      <c r="C104" s="235"/>
      <c r="D104" s="235"/>
      <c r="E104" s="30"/>
      <c r="F104" s="236"/>
      <c r="G104" s="19"/>
      <c r="H104" s="7"/>
      <c r="I104" s="146"/>
    </row>
    <row r="105" spans="1:9" s="8" customFormat="1" ht="15" x14ac:dyDescent="0.2">
      <c r="A105" s="10"/>
      <c r="B105" s="362" t="s">
        <v>693</v>
      </c>
      <c r="C105" s="362"/>
      <c r="D105" s="288"/>
      <c r="E105" s="30" t="s">
        <v>457</v>
      </c>
      <c r="F105" s="228" t="str">
        <f>IF(AND(ISNUMBER(Clocal_soil_TIME2_house),ISNUMBER(Ksoil_water)),Clocal_soil_TIME2_house*RHOsoil_house*0.001/Ksoil_water,"??")</f>
        <v>??</v>
      </c>
      <c r="G105" s="19" t="s">
        <v>810</v>
      </c>
      <c r="H105" s="7" t="s">
        <v>8</v>
      </c>
      <c r="I105" s="146" t="s">
        <v>802</v>
      </c>
    </row>
    <row r="106" spans="1:9" s="8" customFormat="1" ht="5.0999999999999996" customHeight="1" x14ac:dyDescent="0.2">
      <c r="A106" s="10"/>
      <c r="B106" s="288"/>
      <c r="C106" s="288"/>
      <c r="D106" s="288"/>
      <c r="E106" s="30"/>
      <c r="F106" s="289"/>
      <c r="G106" s="19"/>
      <c r="H106" s="7"/>
      <c r="I106" s="146"/>
    </row>
    <row r="107" spans="1:9" s="8" customFormat="1" ht="15" x14ac:dyDescent="0.2">
      <c r="A107" s="10"/>
      <c r="B107" s="362" t="s">
        <v>561</v>
      </c>
      <c r="C107" s="362"/>
      <c r="D107" s="235"/>
      <c r="E107" s="30" t="s">
        <v>692</v>
      </c>
      <c r="F107" s="228" t="str">
        <f>IF(AND(ISNUMBER(Clocal_soil_TIME3_house),ISNUMBER(Ksoil_water)),Clocal_soil_TIME3_house*RHOsoil_house*0.001/Ksoil_water,"??")</f>
        <v>??</v>
      </c>
      <c r="G107" s="19" t="s">
        <v>810</v>
      </c>
      <c r="H107" s="7" t="s">
        <v>8</v>
      </c>
      <c r="I107" s="146" t="s">
        <v>803</v>
      </c>
    </row>
    <row r="108" spans="1:9" s="8" customFormat="1" x14ac:dyDescent="0.2">
      <c r="A108" s="10"/>
      <c r="B108" s="241"/>
      <c r="C108" s="241"/>
      <c r="D108" s="235"/>
      <c r="E108" s="30"/>
      <c r="F108" s="30"/>
      <c r="G108" s="7"/>
      <c r="H108" s="7"/>
      <c r="I108" s="146"/>
    </row>
    <row r="109" spans="1:9" s="8" customFormat="1" x14ac:dyDescent="0.2">
      <c r="B109" s="86" t="s">
        <v>12</v>
      </c>
      <c r="C109" s="86"/>
      <c r="F109" s="87"/>
      <c r="G109" s="88"/>
      <c r="H109" s="74"/>
      <c r="I109" s="85"/>
    </row>
    <row r="110" spans="1:9" s="73" customFormat="1" collapsed="1" x14ac:dyDescent="0.2">
      <c r="C110" s="115"/>
      <c r="G110" s="94"/>
      <c r="I110" s="94"/>
    </row>
    <row r="111" spans="1:9" s="73" customFormat="1" x14ac:dyDescent="0.2">
      <c r="B111" s="307" t="s">
        <v>818</v>
      </c>
      <c r="C111" s="115"/>
      <c r="G111" s="305"/>
      <c r="I111" s="305"/>
    </row>
    <row r="112" spans="1:9" s="73" customFormat="1" x14ac:dyDescent="0.2">
      <c r="B112" s="307"/>
      <c r="C112" s="115"/>
      <c r="G112" s="349"/>
      <c r="I112" s="349"/>
    </row>
    <row r="113" spans="1:45" s="73" customFormat="1" x14ac:dyDescent="0.2">
      <c r="C113" s="115"/>
      <c r="G113" s="94"/>
      <c r="I113" s="94"/>
    </row>
    <row r="114" spans="1:45" ht="15" x14ac:dyDescent="0.2">
      <c r="A114" s="10"/>
      <c r="B114" s="201" t="s">
        <v>610</v>
      </c>
      <c r="C114" s="80"/>
      <c r="D114" s="81"/>
      <c r="E114" s="81"/>
      <c r="F114" s="10"/>
      <c r="G114" s="10"/>
      <c r="H114" s="10"/>
      <c r="I114" s="10"/>
      <c r="J114" s="10"/>
      <c r="K114" s="10"/>
    </row>
    <row r="115" spans="1:45" ht="15" x14ac:dyDescent="0.2">
      <c r="A115" s="10"/>
      <c r="B115" s="73"/>
      <c r="C115" s="18"/>
      <c r="D115" s="31"/>
      <c r="E115" s="31"/>
      <c r="F115" s="31"/>
      <c r="G115" s="31"/>
      <c r="H115" s="31"/>
      <c r="I115" s="31"/>
      <c r="J115" s="10"/>
      <c r="K115" s="10"/>
      <c r="L115" s="10"/>
      <c r="M115" s="10"/>
    </row>
    <row r="116" spans="1:45" x14ac:dyDescent="0.2">
      <c r="A116" s="10"/>
      <c r="B116" s="82" t="s">
        <v>19</v>
      </c>
      <c r="C116" s="82"/>
      <c r="D116" s="82"/>
      <c r="E116" s="77"/>
      <c r="F116" s="77"/>
      <c r="G116" s="77"/>
      <c r="H116" s="77"/>
      <c r="I116" s="83"/>
      <c r="AS116" s="11"/>
    </row>
    <row r="117" spans="1:45" ht="24.75" customHeight="1" x14ac:dyDescent="0.2">
      <c r="A117" s="10"/>
      <c r="B117" s="366" t="s">
        <v>580</v>
      </c>
      <c r="C117" s="366"/>
      <c r="D117" s="366"/>
      <c r="E117" s="366"/>
      <c r="F117" s="366"/>
      <c r="G117" s="366"/>
      <c r="H117" s="366"/>
      <c r="I117" s="366"/>
      <c r="AS117" s="11"/>
    </row>
    <row r="118" spans="1:45" x14ac:dyDescent="0.2">
      <c r="A118" s="10"/>
      <c r="B118" s="366" t="s">
        <v>717</v>
      </c>
      <c r="C118" s="366"/>
      <c r="D118" s="366"/>
      <c r="E118" s="366"/>
      <c r="F118" s="366"/>
      <c r="G118" s="366"/>
      <c r="H118" s="366"/>
      <c r="I118" s="366"/>
      <c r="AS118" s="11"/>
    </row>
    <row r="119" spans="1:45" ht="14.25" x14ac:dyDescent="0.2">
      <c r="A119" s="10"/>
      <c r="B119" s="383" t="s">
        <v>718</v>
      </c>
      <c r="C119" s="383"/>
      <c r="D119" s="383"/>
      <c r="E119" s="383"/>
      <c r="F119" s="383"/>
      <c r="G119" s="383"/>
      <c r="H119" s="383"/>
      <c r="I119" s="383"/>
      <c r="AS119" s="11"/>
    </row>
    <row r="120" spans="1:45" ht="25.15" customHeight="1" x14ac:dyDescent="0.2">
      <c r="A120" s="10"/>
      <c r="B120" s="366" t="s">
        <v>963</v>
      </c>
      <c r="C120" s="366"/>
      <c r="D120" s="366"/>
      <c r="E120" s="366"/>
      <c r="F120" s="366"/>
      <c r="G120" s="366"/>
      <c r="H120" s="366"/>
      <c r="I120" s="366"/>
      <c r="AS120" s="11"/>
    </row>
    <row r="121" spans="1:45" x14ac:dyDescent="0.2">
      <c r="A121" s="10"/>
      <c r="B121" s="366" t="s">
        <v>583</v>
      </c>
      <c r="C121" s="366"/>
      <c r="D121" s="366"/>
      <c r="E121" s="366"/>
      <c r="F121" s="366"/>
      <c r="G121" s="366"/>
      <c r="H121" s="366"/>
      <c r="I121" s="366"/>
      <c r="J121" s="10"/>
      <c r="K121" s="10"/>
      <c r="L121" s="10"/>
      <c r="M121" s="10"/>
      <c r="N121" s="10"/>
      <c r="O121" s="10"/>
      <c r="P121" s="10"/>
      <c r="Q121" s="10"/>
    </row>
    <row r="122" spans="1:45" s="8" customFormat="1" ht="3" customHeight="1" x14ac:dyDescent="0.2">
      <c r="A122" s="10"/>
      <c r="D122" s="31"/>
      <c r="E122" s="32"/>
      <c r="F122" s="84"/>
      <c r="G122" s="84"/>
      <c r="H122" s="84"/>
      <c r="I122" s="10"/>
      <c r="J122" s="10"/>
      <c r="K122" s="10"/>
      <c r="L122" s="10"/>
    </row>
    <row r="123" spans="1:45" ht="15" x14ac:dyDescent="0.2">
      <c r="A123" s="10"/>
      <c r="B123" s="4" t="s">
        <v>0</v>
      </c>
      <c r="C123" s="4"/>
      <c r="D123" s="4"/>
      <c r="E123" s="12"/>
      <c r="F123" s="12"/>
      <c r="G123" s="12"/>
      <c r="H123" s="12"/>
      <c r="I123" s="13"/>
      <c r="AS123" s="11"/>
    </row>
    <row r="124" spans="1:45" x14ac:dyDescent="0.2">
      <c r="A124" s="10"/>
      <c r="B124" s="6"/>
      <c r="C124" s="6"/>
      <c r="D124" s="6"/>
      <c r="E124" s="6"/>
      <c r="F124" s="6"/>
      <c r="G124" s="6"/>
      <c r="H124" s="6"/>
      <c r="I124" s="22"/>
      <c r="AS124" s="11"/>
    </row>
    <row r="125" spans="1:45" ht="15" x14ac:dyDescent="0.2">
      <c r="A125" s="10"/>
      <c r="B125" s="14" t="s">
        <v>2</v>
      </c>
      <c r="C125" s="14"/>
      <c r="D125" s="14"/>
      <c r="E125" s="15" t="s">
        <v>4</v>
      </c>
      <c r="F125" s="16" t="s">
        <v>7</v>
      </c>
      <c r="G125" s="16" t="s">
        <v>3</v>
      </c>
      <c r="H125" s="16" t="s">
        <v>11</v>
      </c>
      <c r="I125" s="15" t="s">
        <v>34</v>
      </c>
      <c r="AS125" s="11"/>
    </row>
    <row r="126" spans="1:45" x14ac:dyDescent="0.2">
      <c r="A126" s="10"/>
      <c r="B126" s="235"/>
      <c r="C126" s="235"/>
      <c r="D126" s="235"/>
      <c r="E126" s="235"/>
      <c r="F126" s="235"/>
      <c r="G126" s="235"/>
      <c r="H126" s="235"/>
      <c r="I126" s="235"/>
      <c r="AS126" s="11"/>
    </row>
    <row r="127" spans="1:45" ht="39.950000000000003" customHeight="1" x14ac:dyDescent="0.2">
      <c r="A127" s="10"/>
      <c r="B127" s="381" t="s">
        <v>572</v>
      </c>
      <c r="C127" s="381"/>
      <c r="D127" s="381"/>
      <c r="E127" s="381"/>
      <c r="F127" s="381"/>
      <c r="G127" s="381"/>
      <c r="H127" s="381"/>
      <c r="I127" s="381"/>
      <c r="AS127" s="11"/>
    </row>
    <row r="128" spans="1:45" ht="13.5" thickBot="1" x14ac:dyDescent="0.25">
      <c r="A128" s="10"/>
      <c r="B128" s="235"/>
      <c r="C128" s="235"/>
      <c r="D128" s="235"/>
      <c r="E128" s="235"/>
      <c r="F128" s="235"/>
      <c r="G128" s="235"/>
      <c r="H128" s="235"/>
      <c r="I128" s="235"/>
      <c r="AS128" s="11"/>
    </row>
    <row r="129" spans="1:45" ht="17.25" thickTop="1" thickBot="1" x14ac:dyDescent="0.25">
      <c r="A129" s="10"/>
      <c r="B129" s="235" t="s">
        <v>574</v>
      </c>
      <c r="C129" s="313" t="s">
        <v>570</v>
      </c>
      <c r="D129" s="235"/>
      <c r="E129" s="235"/>
      <c r="F129" s="235"/>
      <c r="G129" s="235"/>
      <c r="H129" s="235"/>
      <c r="I129" s="235"/>
      <c r="AS129" s="11"/>
    </row>
    <row r="130" spans="1:45" ht="5.0999999999999996" customHeight="1" thickTop="1" x14ac:dyDescent="0.2">
      <c r="A130" s="10"/>
      <c r="B130" s="235"/>
      <c r="C130" s="235"/>
      <c r="D130" s="235"/>
      <c r="E130" s="235"/>
      <c r="F130" s="235"/>
      <c r="G130" s="235"/>
      <c r="H130" s="235"/>
      <c r="I130" s="235"/>
      <c r="AS130" s="11"/>
    </row>
    <row r="131" spans="1:45" ht="51" x14ac:dyDescent="0.2">
      <c r="A131" s="10"/>
      <c r="B131" s="362" t="s">
        <v>171</v>
      </c>
      <c r="C131" s="362"/>
      <c r="D131" s="235"/>
      <c r="E131" s="30" t="s">
        <v>182</v>
      </c>
      <c r="F131" s="315" t="str">
        <f>IF(C129="Yes",'PT8-prof&amp;amateur in situ treatm'!Clocal_soil_brush_fence,0)</f>
        <v>??</v>
      </c>
      <c r="G131" s="19" t="s">
        <v>807</v>
      </c>
      <c r="H131" s="7" t="s">
        <v>8</v>
      </c>
      <c r="I131" s="235" t="s">
        <v>573</v>
      </c>
      <c r="AS131" s="11"/>
    </row>
    <row r="132" spans="1:45" ht="5.0999999999999996" customHeight="1" x14ac:dyDescent="0.2">
      <c r="A132" s="10"/>
      <c r="B132" s="104"/>
      <c r="C132" s="14"/>
      <c r="D132" s="14"/>
      <c r="E132" s="15"/>
      <c r="F132" s="16"/>
      <c r="G132" s="306"/>
      <c r="H132" s="16"/>
      <c r="I132" s="15"/>
      <c r="AS132" s="11"/>
    </row>
    <row r="133" spans="1:45" ht="15" x14ac:dyDescent="0.2">
      <c r="A133" s="10"/>
      <c r="B133" s="362" t="s">
        <v>192</v>
      </c>
      <c r="C133" s="362"/>
      <c r="D133" s="14"/>
      <c r="E133" s="30" t="s">
        <v>172</v>
      </c>
      <c r="F133" s="272">
        <v>2</v>
      </c>
      <c r="G133" s="19" t="s">
        <v>812</v>
      </c>
      <c r="H133" s="7" t="s">
        <v>13</v>
      </c>
      <c r="I133" s="15"/>
      <c r="AS133" s="11"/>
    </row>
    <row r="134" spans="1:45" ht="5.0999999999999996" customHeight="1" x14ac:dyDescent="0.2">
      <c r="A134" s="10"/>
      <c r="B134" s="104"/>
      <c r="C134" s="14"/>
      <c r="D134" s="14"/>
      <c r="E134" s="15"/>
      <c r="F134" s="275"/>
      <c r="G134" s="19"/>
      <c r="H134" s="7"/>
      <c r="I134" s="15"/>
      <c r="AS134" s="11"/>
    </row>
    <row r="135" spans="1:45" s="8" customFormat="1" x14ac:dyDescent="0.2">
      <c r="B135" s="362" t="s">
        <v>72</v>
      </c>
      <c r="C135" s="362"/>
      <c r="D135" s="34"/>
      <c r="E135" s="104" t="s">
        <v>73</v>
      </c>
      <c r="F135" s="273">
        <v>30</v>
      </c>
      <c r="G135" s="19" t="s">
        <v>10</v>
      </c>
      <c r="H135" s="7" t="s">
        <v>13</v>
      </c>
      <c r="I135" s="34"/>
    </row>
    <row r="136" spans="1:45" s="8" customFormat="1" ht="5.0999999999999996" customHeight="1" x14ac:dyDescent="0.2">
      <c r="B136" s="362"/>
      <c r="C136" s="362"/>
      <c r="D136" s="34"/>
      <c r="E136" s="22"/>
      <c r="F136" s="7"/>
      <c r="G136" s="19"/>
      <c r="H136" s="7"/>
      <c r="I136" s="34"/>
    </row>
    <row r="137" spans="1:45" s="8" customFormat="1" ht="39.950000000000003" customHeight="1" x14ac:dyDescent="0.2">
      <c r="B137" s="362" t="s">
        <v>677</v>
      </c>
      <c r="C137" s="362"/>
      <c r="D137" s="34"/>
      <c r="E137" s="288" t="s">
        <v>75</v>
      </c>
      <c r="F137" s="273">
        <v>365</v>
      </c>
      <c r="G137" s="19" t="s">
        <v>10</v>
      </c>
      <c r="H137" s="7" t="s">
        <v>13</v>
      </c>
      <c r="I137" s="146" t="s">
        <v>966</v>
      </c>
    </row>
    <row r="138" spans="1:45" s="8" customFormat="1" ht="5.0999999999999996" customHeight="1" thickBot="1" x14ac:dyDescent="0.25">
      <c r="B138" s="362"/>
      <c r="C138" s="362"/>
      <c r="D138" s="34"/>
      <c r="E138" s="22"/>
      <c r="F138" s="7"/>
      <c r="G138" s="19"/>
      <c r="H138" s="7"/>
      <c r="I138" s="34"/>
    </row>
    <row r="139" spans="1:45" s="8" customFormat="1" ht="27" thickTop="1" thickBot="1" x14ac:dyDescent="0.25">
      <c r="B139" s="30" t="s">
        <v>675</v>
      </c>
      <c r="C139" s="313" t="s">
        <v>466</v>
      </c>
      <c r="D139" s="34"/>
      <c r="E139" s="22" t="s">
        <v>676</v>
      </c>
      <c r="F139" s="23" t="str">
        <f>INDEX('Pick-lists &amp; Defaults'!C104:C109,MATCH(C139,application_method_process,0))</f>
        <v>??</v>
      </c>
      <c r="G139" s="19" t="s">
        <v>10</v>
      </c>
      <c r="H139" s="7" t="s">
        <v>20</v>
      </c>
      <c r="I139" s="146" t="s">
        <v>471</v>
      </c>
    </row>
    <row r="140" spans="1:45" s="8" customFormat="1" ht="5.0999999999999996" customHeight="1" thickTop="1" x14ac:dyDescent="0.2">
      <c r="B140" s="104"/>
      <c r="C140" s="104"/>
      <c r="D140" s="104"/>
      <c r="E140" s="30"/>
      <c r="F140" s="7"/>
      <c r="G140" s="19"/>
      <c r="H140" s="7"/>
      <c r="I140" s="7"/>
    </row>
    <row r="141" spans="1:45" s="8" customFormat="1" ht="30" customHeight="1" x14ac:dyDescent="0.2">
      <c r="B141" s="362" t="s">
        <v>193</v>
      </c>
      <c r="C141" s="362"/>
      <c r="D141" s="34"/>
      <c r="E141" s="104" t="s">
        <v>194</v>
      </c>
      <c r="F141" s="274"/>
      <c r="G141" s="19" t="s">
        <v>813</v>
      </c>
      <c r="H141" s="7" t="s">
        <v>6</v>
      </c>
      <c r="I141" s="34"/>
    </row>
    <row r="142" spans="1:45" s="8" customFormat="1" ht="5.0999999999999996" customHeight="1" x14ac:dyDescent="0.2">
      <c r="B142" s="362"/>
      <c r="C142" s="362"/>
      <c r="D142" s="34"/>
      <c r="E142" s="22"/>
      <c r="F142" s="273"/>
      <c r="G142" s="19"/>
      <c r="H142" s="7"/>
      <c r="I142" s="34"/>
    </row>
    <row r="143" spans="1:45" s="8" customFormat="1" ht="30" customHeight="1" x14ac:dyDescent="0.2">
      <c r="B143" s="362" t="s">
        <v>683</v>
      </c>
      <c r="C143" s="362"/>
      <c r="D143" s="34"/>
      <c r="E143" s="104" t="s">
        <v>196</v>
      </c>
      <c r="F143" s="274"/>
      <c r="G143" s="19" t="s">
        <v>813</v>
      </c>
      <c r="H143" s="7" t="s">
        <v>6</v>
      </c>
      <c r="I143" s="92"/>
    </row>
    <row r="144" spans="1:45" s="8" customFormat="1" ht="5.0999999999999996" customHeight="1" x14ac:dyDescent="0.2">
      <c r="B144" s="104"/>
      <c r="C144" s="104"/>
      <c r="D144" s="34"/>
      <c r="E144" s="22"/>
      <c r="F144" s="7"/>
      <c r="G144" s="19"/>
      <c r="H144" s="7"/>
      <c r="I144" s="34"/>
    </row>
    <row r="145" spans="1:9" s="8" customFormat="1" ht="30" customHeight="1" x14ac:dyDescent="0.2">
      <c r="B145" s="362" t="s">
        <v>195</v>
      </c>
      <c r="C145" s="362"/>
      <c r="D145" s="34"/>
      <c r="E145" s="288" t="s">
        <v>684</v>
      </c>
      <c r="F145" s="274"/>
      <c r="G145" s="19" t="s">
        <v>813</v>
      </c>
      <c r="H145" s="7" t="s">
        <v>6</v>
      </c>
      <c r="I145" s="92"/>
    </row>
    <row r="146" spans="1:9" s="8" customFormat="1" ht="5.0999999999999996" customHeight="1" x14ac:dyDescent="0.2">
      <c r="B146" s="288"/>
      <c r="C146" s="288"/>
      <c r="D146" s="34"/>
      <c r="E146" s="22"/>
      <c r="F146" s="7"/>
      <c r="G146" s="19"/>
      <c r="H146" s="7"/>
      <c r="I146" s="34"/>
    </row>
    <row r="147" spans="1:9" s="8" customFormat="1" ht="15" x14ac:dyDescent="0.2">
      <c r="B147" s="104" t="s">
        <v>197</v>
      </c>
      <c r="C147" s="104"/>
      <c r="D147" s="34"/>
      <c r="E147" s="22" t="s">
        <v>23</v>
      </c>
      <c r="F147" s="273">
        <v>0.25</v>
      </c>
      <c r="G147" s="7" t="s">
        <v>24</v>
      </c>
      <c r="H147" s="7" t="s">
        <v>13</v>
      </c>
      <c r="I147" s="107"/>
    </row>
    <row r="148" spans="1:9" s="8" customFormat="1" ht="5.0999999999999996" customHeight="1" x14ac:dyDescent="0.2">
      <c r="B148" s="104"/>
      <c r="C148" s="104"/>
      <c r="D148" s="34"/>
      <c r="E148" s="22"/>
      <c r="F148" s="273"/>
      <c r="G148" s="19"/>
      <c r="H148" s="7"/>
      <c r="I148" s="34"/>
    </row>
    <row r="149" spans="1:9" s="8" customFormat="1" ht="15" x14ac:dyDescent="0.2">
      <c r="B149" s="104" t="s">
        <v>25</v>
      </c>
      <c r="C149" s="104"/>
      <c r="D149" s="34"/>
      <c r="E149" s="22" t="s">
        <v>30</v>
      </c>
      <c r="F149" s="273">
        <v>1700</v>
      </c>
      <c r="G149" s="19" t="s">
        <v>169</v>
      </c>
      <c r="H149" s="7" t="s">
        <v>13</v>
      </c>
      <c r="I149" s="34"/>
    </row>
    <row r="150" spans="1:9" s="8" customFormat="1" x14ac:dyDescent="0.2">
      <c r="B150" s="171"/>
      <c r="C150" s="171"/>
      <c r="D150" s="34"/>
      <c r="E150" s="22"/>
      <c r="F150" s="7"/>
      <c r="G150" s="19"/>
      <c r="H150" s="7"/>
      <c r="I150" s="34"/>
    </row>
    <row r="151" spans="1:9" s="8" customFormat="1" x14ac:dyDescent="0.2">
      <c r="B151" s="244" t="s">
        <v>558</v>
      </c>
      <c r="C151" s="244"/>
      <c r="D151" s="34"/>
      <c r="E151" s="22"/>
      <c r="F151" s="7"/>
      <c r="G151" s="19"/>
      <c r="H151" s="7"/>
      <c r="I151" s="34"/>
    </row>
    <row r="152" spans="1:9" s="8" customFormat="1" x14ac:dyDescent="0.2">
      <c r="B152" s="171"/>
      <c r="C152" s="171"/>
      <c r="D152" s="34"/>
      <c r="E152" s="22"/>
      <c r="F152" s="7"/>
      <c r="G152" s="19"/>
      <c r="H152" s="7"/>
      <c r="I152" s="34"/>
    </row>
    <row r="153" spans="1:9" s="8" customFormat="1" ht="15.75" thickBot="1" x14ac:dyDescent="0.25">
      <c r="B153" s="362" t="s">
        <v>448</v>
      </c>
      <c r="C153" s="362"/>
      <c r="D153" s="14"/>
      <c r="E153" s="30" t="s">
        <v>449</v>
      </c>
      <c r="F153" s="191" t="str">
        <f>IF(ISNUMBER(Ksoil_water),Ksoil_water,"")</f>
        <v/>
      </c>
      <c r="G153" s="7" t="s">
        <v>450</v>
      </c>
      <c r="H153" s="7" t="s">
        <v>6</v>
      </c>
      <c r="I153" s="34" t="s">
        <v>499</v>
      </c>
    </row>
    <row r="154" spans="1:9" s="8" customFormat="1" ht="5.0999999999999996" customHeight="1" thickTop="1" x14ac:dyDescent="0.2">
      <c r="B154" s="171"/>
      <c r="C154" s="171"/>
      <c r="D154" s="34"/>
      <c r="E154" s="22"/>
      <c r="F154" s="7"/>
      <c r="G154" s="19"/>
      <c r="H154" s="7"/>
      <c r="I154" s="34"/>
    </row>
    <row r="155" spans="1:9" s="8" customFormat="1" ht="17.25" customHeight="1" thickBot="1" x14ac:dyDescent="0.25">
      <c r="B155" s="362" t="s">
        <v>442</v>
      </c>
      <c r="C155" s="362"/>
      <c r="D155" s="34"/>
      <c r="E155" s="22" t="s">
        <v>653</v>
      </c>
      <c r="F155" s="191" t="str">
        <f>IF(ISNUMBER(k_soil), k_soil, "")</f>
        <v/>
      </c>
      <c r="G155" s="19" t="s">
        <v>443</v>
      </c>
      <c r="H155" s="7" t="s">
        <v>6</v>
      </c>
      <c r="I155" s="34" t="s">
        <v>499</v>
      </c>
    </row>
    <row r="156" spans="1:9" s="8" customFormat="1" ht="13.5" thickTop="1" x14ac:dyDescent="0.2">
      <c r="B156" s="104"/>
      <c r="C156" s="104"/>
      <c r="D156" s="34"/>
      <c r="E156" s="22"/>
      <c r="F156" s="7"/>
      <c r="G156" s="19"/>
      <c r="H156" s="7"/>
      <c r="I156" s="34"/>
    </row>
    <row r="157" spans="1:9" ht="15" x14ac:dyDescent="0.2">
      <c r="A157" s="10"/>
      <c r="B157" s="4" t="s">
        <v>1</v>
      </c>
      <c r="C157" s="4"/>
      <c r="D157" s="4"/>
      <c r="E157" s="4"/>
      <c r="F157" s="12"/>
      <c r="G157" s="12"/>
      <c r="H157" s="12"/>
      <c r="I157" s="12"/>
    </row>
    <row r="158" spans="1:9" x14ac:dyDescent="0.2">
      <c r="A158" s="10"/>
      <c r="B158" s="6"/>
      <c r="C158" s="6"/>
      <c r="D158" s="6"/>
      <c r="E158" s="6"/>
      <c r="F158" s="6"/>
      <c r="G158" s="6"/>
      <c r="H158" s="6"/>
      <c r="I158" s="6"/>
    </row>
    <row r="159" spans="1:9" ht="15" x14ac:dyDescent="0.2">
      <c r="A159" s="10"/>
      <c r="B159" s="14" t="s">
        <v>2</v>
      </c>
      <c r="C159" s="14"/>
      <c r="D159" s="14"/>
      <c r="E159" s="15" t="s">
        <v>4</v>
      </c>
      <c r="F159" s="16" t="s">
        <v>7</v>
      </c>
      <c r="G159" s="16" t="s">
        <v>3</v>
      </c>
      <c r="H159" s="16" t="s">
        <v>11</v>
      </c>
      <c r="I159" s="15" t="s">
        <v>34</v>
      </c>
    </row>
    <row r="160" spans="1:9" x14ac:dyDescent="0.2">
      <c r="A160" s="10"/>
      <c r="B160" s="14"/>
      <c r="C160" s="14"/>
      <c r="D160" s="14"/>
      <c r="E160" s="15"/>
      <c r="F160" s="16"/>
      <c r="G160" s="16"/>
      <c r="H160" s="16"/>
      <c r="I160" s="15"/>
    </row>
    <row r="161" spans="1:9" s="8" customFormat="1" ht="15" x14ac:dyDescent="0.2">
      <c r="A161" s="10"/>
      <c r="B161" s="362" t="s">
        <v>198</v>
      </c>
      <c r="C161" s="362"/>
      <c r="D161" s="362"/>
      <c r="E161" s="30" t="s">
        <v>202</v>
      </c>
      <c r="F161" s="228" t="str">
        <f>IF(ISNUMBER(Q_leach_TIME1_fence),AREAfence*Q_leach_TIME1_fence,"??")</f>
        <v>??</v>
      </c>
      <c r="G161" s="19" t="s">
        <v>794</v>
      </c>
      <c r="H161" s="7" t="s">
        <v>8</v>
      </c>
      <c r="I161" s="126" t="s">
        <v>795</v>
      </c>
    </row>
    <row r="162" spans="1:9" s="8" customFormat="1" ht="5.0999999999999996" customHeight="1" x14ac:dyDescent="0.2">
      <c r="A162" s="10"/>
      <c r="B162" s="104"/>
      <c r="C162" s="104"/>
      <c r="D162" s="104"/>
      <c r="E162" s="30"/>
      <c r="F162" s="30"/>
      <c r="G162" s="19"/>
      <c r="H162" s="7"/>
      <c r="I162" s="20"/>
    </row>
    <row r="163" spans="1:9" s="8" customFormat="1" ht="24.95" customHeight="1" x14ac:dyDescent="0.2">
      <c r="A163" s="10"/>
      <c r="B163" s="362" t="s">
        <v>703</v>
      </c>
      <c r="C163" s="362"/>
      <c r="D163" s="362"/>
      <c r="E163" s="30" t="s">
        <v>203</v>
      </c>
      <c r="F163" s="228" t="str">
        <f>IF(ISNUMBER(Q_leach_TIME2_fence),AREAfence*Q_leach_TIME2_fence,"??")</f>
        <v>??</v>
      </c>
      <c r="G163" s="19" t="s">
        <v>794</v>
      </c>
      <c r="H163" s="7" t="s">
        <v>8</v>
      </c>
      <c r="I163" s="126" t="s">
        <v>796</v>
      </c>
    </row>
    <row r="164" spans="1:9" s="8" customFormat="1" ht="5.0999999999999996" customHeight="1" x14ac:dyDescent="0.2">
      <c r="A164" s="10"/>
      <c r="B164" s="104"/>
      <c r="C164" s="104"/>
      <c r="D164" s="104"/>
      <c r="E164" s="30"/>
      <c r="F164" s="30"/>
      <c r="G164" s="19"/>
      <c r="H164" s="7"/>
      <c r="I164" s="20"/>
    </row>
    <row r="165" spans="1:9" s="8" customFormat="1" ht="15" x14ac:dyDescent="0.2">
      <c r="A165" s="10"/>
      <c r="B165" s="362" t="s">
        <v>199</v>
      </c>
      <c r="C165" s="362"/>
      <c r="D165" s="362"/>
      <c r="E165" s="30" t="s">
        <v>678</v>
      </c>
      <c r="F165" s="228" t="str">
        <f>IF(ISNUMBER(Q_leach_TIME3_fence),AREAfence*Q_leach_TIME3_fence,"??")</f>
        <v>??</v>
      </c>
      <c r="G165" s="19" t="s">
        <v>794</v>
      </c>
      <c r="H165" s="7" t="s">
        <v>8</v>
      </c>
      <c r="I165" s="126" t="s">
        <v>797</v>
      </c>
    </row>
    <row r="166" spans="1:9" x14ac:dyDescent="0.2">
      <c r="A166" s="10"/>
      <c r="B166" s="14"/>
      <c r="C166" s="14"/>
      <c r="D166" s="14"/>
      <c r="E166" s="15"/>
      <c r="F166" s="16"/>
      <c r="G166" s="16"/>
      <c r="H166" s="16"/>
      <c r="I166" s="15"/>
    </row>
    <row r="167" spans="1:9" s="8" customFormat="1" ht="24.95" customHeight="1" x14ac:dyDescent="0.2">
      <c r="A167" s="10"/>
      <c r="B167" s="362" t="s">
        <v>491</v>
      </c>
      <c r="C167" s="362"/>
      <c r="D167" s="30"/>
      <c r="E167" s="30" t="s">
        <v>452</v>
      </c>
      <c r="F167" s="228" t="str">
        <f>IF(ISNUMBER(Q_leach_TIME1_fence),AREAfence*Q_leach_TIME1_fence/TIME1_fence,"??")</f>
        <v>??</v>
      </c>
      <c r="G167" s="19" t="s">
        <v>814</v>
      </c>
      <c r="H167" s="7" t="s">
        <v>8</v>
      </c>
      <c r="I167" s="146" t="s">
        <v>798</v>
      </c>
    </row>
    <row r="168" spans="1:9" s="8" customFormat="1" ht="5.0999999999999996" customHeight="1" x14ac:dyDescent="0.2">
      <c r="A168" s="10"/>
      <c r="B168" s="171"/>
      <c r="C168" s="171"/>
      <c r="D168" s="171"/>
      <c r="E168" s="30"/>
      <c r="F168" s="147"/>
      <c r="G168" s="19"/>
      <c r="H168" s="7"/>
      <c r="I168" s="146"/>
    </row>
    <row r="169" spans="1:9" s="8" customFormat="1" ht="24.95" customHeight="1" x14ac:dyDescent="0.2">
      <c r="A169" s="10"/>
      <c r="B169" s="362" t="s">
        <v>704</v>
      </c>
      <c r="C169" s="362"/>
      <c r="D169" s="171"/>
      <c r="E169" s="30" t="s">
        <v>453</v>
      </c>
      <c r="F169" s="228" t="str">
        <f>IF(ISNUMBER(Q_leach_TIME2_fence),AREAfence*Q_leach_TIME2_fence/TIME2_fence,"??")</f>
        <v>??</v>
      </c>
      <c r="G169" s="19" t="s">
        <v>814</v>
      </c>
      <c r="H169" s="7" t="s">
        <v>8</v>
      </c>
      <c r="I169" s="146" t="s">
        <v>799</v>
      </c>
    </row>
    <row r="170" spans="1:9" s="8" customFormat="1" ht="5.0999999999999996" customHeight="1" x14ac:dyDescent="0.2">
      <c r="A170" s="10"/>
      <c r="B170" s="288"/>
      <c r="C170" s="288"/>
      <c r="D170" s="288"/>
      <c r="E170" s="30"/>
      <c r="F170" s="289"/>
      <c r="G170" s="19"/>
      <c r="H170" s="7"/>
      <c r="I170" s="146"/>
    </row>
    <row r="171" spans="1:9" s="8" customFormat="1" ht="24.95" customHeight="1" x14ac:dyDescent="0.2">
      <c r="A171" s="10"/>
      <c r="B171" s="362" t="s">
        <v>492</v>
      </c>
      <c r="C171" s="362"/>
      <c r="D171" s="288"/>
      <c r="E171" s="30" t="s">
        <v>689</v>
      </c>
      <c r="F171" s="228" t="str">
        <f>IF(AND(ISNUMBER(Q_leach_TIME3_fence),ISNUMBER(TIME3_fence)),AREAfence*Q_leach_TIME3_fence/TIME3_fence,"??")</f>
        <v>??</v>
      </c>
      <c r="G171" s="19" t="s">
        <v>814</v>
      </c>
      <c r="H171" s="7" t="s">
        <v>8</v>
      </c>
      <c r="I171" s="146" t="s">
        <v>800</v>
      </c>
    </row>
    <row r="172" spans="1:9" x14ac:dyDescent="0.2">
      <c r="A172" s="10"/>
      <c r="B172" s="14"/>
      <c r="C172" s="14"/>
      <c r="D172" s="14"/>
      <c r="E172" s="15"/>
      <c r="F172" s="16"/>
      <c r="G172" s="16"/>
      <c r="H172" s="16"/>
      <c r="I172" s="15"/>
    </row>
    <row r="173" spans="1:9" ht="15" x14ac:dyDescent="0.2">
      <c r="A173" s="10"/>
      <c r="B173" s="382" t="s">
        <v>597</v>
      </c>
      <c r="C173" s="382"/>
      <c r="D173" s="382"/>
      <c r="E173" s="382"/>
      <c r="F173" s="382"/>
      <c r="G173" s="382"/>
      <c r="H173" s="382"/>
      <c r="I173" s="382"/>
    </row>
    <row r="174" spans="1:9" s="8" customFormat="1" x14ac:dyDescent="0.2">
      <c r="A174" s="10"/>
      <c r="B174" s="288"/>
      <c r="C174" s="288"/>
      <c r="D174" s="288"/>
      <c r="E174" s="30"/>
      <c r="F174" s="30"/>
      <c r="G174" s="19"/>
      <c r="H174" s="7"/>
      <c r="I174" s="126"/>
    </row>
    <row r="175" spans="1:9" s="8" customFormat="1" ht="15" x14ac:dyDescent="0.2">
      <c r="A175" s="10"/>
      <c r="B175" s="362" t="s">
        <v>200</v>
      </c>
      <c r="C175" s="362"/>
      <c r="D175" s="30"/>
      <c r="E175" s="30" t="s">
        <v>204</v>
      </c>
      <c r="F175" s="228" t="str">
        <f>IF(ISNUMBER(QleachTIME1_fence),QleachTIME1_fence/(Vsoil_fence*RHOsoil_fence),"??")</f>
        <v>??</v>
      </c>
      <c r="G175" s="19" t="s">
        <v>807</v>
      </c>
      <c r="H175" s="7" t="s">
        <v>8</v>
      </c>
      <c r="I175" s="20" t="s">
        <v>791</v>
      </c>
    </row>
    <row r="176" spans="1:9" s="8" customFormat="1" ht="5.0999999999999996" customHeight="1" x14ac:dyDescent="0.2">
      <c r="A176" s="10"/>
      <c r="B176" s="104"/>
      <c r="C176" s="104"/>
      <c r="D176" s="104"/>
      <c r="E176" s="30"/>
      <c r="F176" s="30"/>
      <c r="G176" s="19"/>
      <c r="H176" s="7"/>
      <c r="I176" s="20"/>
    </row>
    <row r="177" spans="1:66" s="8" customFormat="1" ht="15" x14ac:dyDescent="0.2">
      <c r="A177" s="10"/>
      <c r="B177" s="362" t="s">
        <v>682</v>
      </c>
      <c r="C177" s="362"/>
      <c r="D177" s="185"/>
      <c r="E177" s="30" t="s">
        <v>205</v>
      </c>
      <c r="F177" s="228" t="str">
        <f>IF(ISNUMBER(QleachTIME2_fence),QleachTIME2_fence/(Vsoil_fence*RHOsoil_fence),"??")</f>
        <v>??</v>
      </c>
      <c r="G177" s="19" t="s">
        <v>807</v>
      </c>
      <c r="H177" s="7" t="s">
        <v>8</v>
      </c>
      <c r="I177" s="20" t="s">
        <v>792</v>
      </c>
    </row>
    <row r="178" spans="1:66" s="8" customFormat="1" ht="5.0999999999999996" customHeight="1" x14ac:dyDescent="0.2">
      <c r="A178" s="10"/>
      <c r="B178" s="288"/>
      <c r="C178" s="288"/>
      <c r="D178" s="288"/>
      <c r="E178" s="30"/>
      <c r="F178" s="30"/>
      <c r="G178" s="19"/>
      <c r="H178" s="7"/>
      <c r="I178" s="20"/>
    </row>
    <row r="179" spans="1:66" s="8" customFormat="1" ht="15" x14ac:dyDescent="0.2">
      <c r="A179" s="10"/>
      <c r="B179" s="362" t="s">
        <v>201</v>
      </c>
      <c r="C179" s="362"/>
      <c r="D179" s="288"/>
      <c r="E179" s="30" t="s">
        <v>681</v>
      </c>
      <c r="F179" s="228" t="str">
        <f>IF(ISNUMBER(QleachTIME3_fence),QleachTIME3_fence/(Vsoil_fence*RHOsoil_fence),"??")</f>
        <v>??</v>
      </c>
      <c r="G179" s="19" t="s">
        <v>807</v>
      </c>
      <c r="H179" s="7" t="s">
        <v>8</v>
      </c>
      <c r="I179" s="20" t="s">
        <v>793</v>
      </c>
    </row>
    <row r="180" spans="1:66" s="8" customFormat="1" x14ac:dyDescent="0.2">
      <c r="A180" s="10"/>
      <c r="B180" s="235"/>
      <c r="C180" s="235"/>
      <c r="D180" s="30"/>
      <c r="E180" s="30"/>
      <c r="F180" s="16"/>
      <c r="G180" s="7"/>
      <c r="H180" s="7"/>
      <c r="I180" s="20"/>
    </row>
    <row r="181" spans="1:66" s="8" customFormat="1" x14ac:dyDescent="0.2">
      <c r="A181" s="10"/>
      <c r="B181" s="381" t="s">
        <v>575</v>
      </c>
      <c r="C181" s="381"/>
      <c r="D181" s="381"/>
      <c r="E181" s="381"/>
      <c r="F181" s="381"/>
      <c r="G181" s="381"/>
      <c r="H181" s="381"/>
      <c r="I181" s="381"/>
    </row>
    <row r="182" spans="1:66" s="8" customFormat="1" ht="3" customHeight="1" x14ac:dyDescent="0.2">
      <c r="A182" s="10"/>
      <c r="B182" s="235"/>
      <c r="C182" s="235"/>
      <c r="D182" s="30"/>
      <c r="E182" s="30"/>
      <c r="F182" s="16"/>
      <c r="G182" s="7"/>
      <c r="H182" s="7"/>
      <c r="I182" s="20"/>
    </row>
    <row r="183" spans="1:66" s="8" customFormat="1" ht="15" x14ac:dyDescent="0.2">
      <c r="A183" s="10"/>
      <c r="B183" s="362" t="s">
        <v>564</v>
      </c>
      <c r="C183" s="362"/>
      <c r="D183" s="30"/>
      <c r="E183" s="30" t="s">
        <v>566</v>
      </c>
      <c r="F183" s="228" t="str">
        <f>IF(Clocal_soil_brush_fence=0,Clocal_soil_leach_TIME1_fence, IF(ISNUMBER(Clocal_soil_brush_fence),Clocal_soil_brush_fence+Clocal_soil_leach_TIME1_fence,"??"))</f>
        <v>??</v>
      </c>
      <c r="G183" s="19" t="s">
        <v>807</v>
      </c>
      <c r="H183" s="7" t="s">
        <v>8</v>
      </c>
      <c r="I183" s="20" t="s">
        <v>576</v>
      </c>
    </row>
    <row r="184" spans="1:66" s="8" customFormat="1" ht="5.0999999999999996" customHeight="1" x14ac:dyDescent="0.2">
      <c r="A184" s="10"/>
      <c r="B184" s="235"/>
      <c r="C184" s="235"/>
      <c r="D184" s="30"/>
      <c r="E184" s="30"/>
      <c r="F184" s="16"/>
      <c r="G184" s="19"/>
      <c r="H184" s="7"/>
      <c r="I184" s="20"/>
    </row>
    <row r="185" spans="1:66" s="8" customFormat="1" ht="24.95" customHeight="1" x14ac:dyDescent="0.2">
      <c r="A185" s="10"/>
      <c r="B185" s="362" t="s">
        <v>685</v>
      </c>
      <c r="C185" s="362"/>
      <c r="D185" s="30"/>
      <c r="E185" s="30" t="s">
        <v>567</v>
      </c>
      <c r="F185" s="228" t="str">
        <f>IF(Clocal_soil_brush_fence=0, Clocal_soil_leach_TIME2_fence, IF(ISNUMBER(Clocal_soil_brush_fence),Clocal_soil_brush_fence+Clocal_soil_leach_TIME2_fence,"??"))</f>
        <v>??</v>
      </c>
      <c r="G185" s="19" t="s">
        <v>807</v>
      </c>
      <c r="H185" s="7" t="s">
        <v>8</v>
      </c>
      <c r="I185" s="20" t="s">
        <v>577</v>
      </c>
    </row>
    <row r="186" spans="1:66" s="8" customFormat="1" ht="5.0999999999999996" customHeight="1" x14ac:dyDescent="0.2">
      <c r="A186" s="10"/>
      <c r="B186" s="288"/>
      <c r="C186" s="288"/>
      <c r="D186" s="30"/>
      <c r="E186" s="30"/>
      <c r="F186" s="16"/>
      <c r="G186" s="19"/>
      <c r="H186" s="7"/>
      <c r="I186" s="20"/>
    </row>
    <row r="187" spans="1:66" s="8" customFormat="1" ht="15" x14ac:dyDescent="0.2">
      <c r="A187" s="10"/>
      <c r="B187" s="362" t="s">
        <v>565</v>
      </c>
      <c r="C187" s="362"/>
      <c r="D187" s="30"/>
      <c r="E187" s="30" t="s">
        <v>686</v>
      </c>
      <c r="F187" s="228" t="str">
        <f>IF(Clocal_soil_brush_fence=0, Clocal_soil_leach_TIME3_fence, IF(ISNUMBER(Clocal_soil_brush_fence),Clocal_soil_brush_fence+Clocal_soil_leach_TIME3_fence,"??"))</f>
        <v>??</v>
      </c>
      <c r="G187" s="19" t="s">
        <v>807</v>
      </c>
      <c r="H187" s="7" t="s">
        <v>8</v>
      </c>
      <c r="I187" s="20" t="s">
        <v>687</v>
      </c>
    </row>
    <row r="188" spans="1:66" s="8" customFormat="1" x14ac:dyDescent="0.2">
      <c r="A188" s="10"/>
      <c r="B188" s="235"/>
      <c r="C188" s="235"/>
      <c r="D188" s="30"/>
      <c r="E188" s="30"/>
      <c r="F188" s="16"/>
      <c r="G188" s="7"/>
      <c r="H188" s="7"/>
      <c r="I188" s="20"/>
    </row>
    <row r="189" spans="1:66" s="8" customFormat="1" ht="15" x14ac:dyDescent="0.2">
      <c r="A189" s="10"/>
      <c r="B189" s="382" t="s">
        <v>559</v>
      </c>
      <c r="C189" s="382"/>
      <c r="D189" s="382"/>
      <c r="E189" s="382"/>
      <c r="F189" s="382"/>
      <c r="G189" s="382"/>
      <c r="H189" s="382"/>
      <c r="I189" s="382"/>
      <c r="J189" s="170"/>
      <c r="AT189" s="10"/>
      <c r="AU189" s="10"/>
      <c r="AV189" s="10"/>
      <c r="AW189" s="10"/>
      <c r="AX189" s="10"/>
      <c r="AY189" s="10"/>
      <c r="AZ189" s="10"/>
      <c r="BA189" s="10"/>
      <c r="BB189" s="10"/>
      <c r="BC189" s="10"/>
      <c r="BD189" s="10"/>
      <c r="BE189" s="10"/>
      <c r="BF189" s="10"/>
      <c r="BG189" s="10"/>
      <c r="BH189" s="10"/>
      <c r="BI189" s="10"/>
      <c r="BJ189" s="10"/>
      <c r="BK189" s="10"/>
      <c r="BL189" s="10"/>
      <c r="BM189" s="10"/>
      <c r="BN189" s="10"/>
    </row>
    <row r="190" spans="1:66" s="8" customFormat="1" x14ac:dyDescent="0.2">
      <c r="A190" s="10"/>
      <c r="B190" s="236"/>
      <c r="C190" s="236"/>
      <c r="D190" s="236"/>
      <c r="E190" s="236"/>
      <c r="F190" s="236"/>
      <c r="G190" s="7"/>
      <c r="H190" s="7"/>
      <c r="I190" s="20"/>
    </row>
    <row r="191" spans="1:66" s="8" customFormat="1" ht="43.5" x14ac:dyDescent="0.2">
      <c r="A191" s="10"/>
      <c r="B191" s="362" t="s">
        <v>562</v>
      </c>
      <c r="C191" s="362"/>
      <c r="D191" s="235"/>
      <c r="E191" s="30" t="s">
        <v>454</v>
      </c>
      <c r="F191" s="228" t="str">
        <f>IF(AND(ISNUMBER(Esoil_leach_TIME1_fence),ISNUMBER(k_soil),ISNUMBER(Clocal_soil_brush_fence)),Esoil_leach_TIME1_fence/(Vsoil_fence*RHOsoil_fence*k_soil)-(Esoil_leach_TIME1_fence/(Vsoil_fence*RHOsoil_fence*k_soil)-Clocal_soil_brush_fence)*EXP(-TIME1_fence*k_soil),"??")</f>
        <v>??</v>
      </c>
      <c r="G191" s="19" t="s">
        <v>807</v>
      </c>
      <c r="H191" s="7" t="s">
        <v>8</v>
      </c>
      <c r="I191" s="146" t="s">
        <v>584</v>
      </c>
    </row>
    <row r="192" spans="1:66" s="8" customFormat="1" ht="5.0999999999999996" customHeight="1" x14ac:dyDescent="0.2">
      <c r="A192" s="10"/>
      <c r="B192" s="235"/>
      <c r="C192" s="235"/>
      <c r="D192" s="235"/>
      <c r="E192" s="30"/>
      <c r="F192" s="236"/>
      <c r="G192" s="19"/>
      <c r="H192" s="7"/>
      <c r="I192" s="146"/>
    </row>
    <row r="193" spans="1:11" s="8" customFormat="1" ht="43.5" x14ac:dyDescent="0.2">
      <c r="A193" s="10"/>
      <c r="B193" s="362" t="s">
        <v>700</v>
      </c>
      <c r="C193" s="362"/>
      <c r="D193" s="235"/>
      <c r="E193" s="30" t="s">
        <v>455</v>
      </c>
      <c r="F193" s="228" t="str">
        <f>IF(AND(ISNUMBER(Esoil_leach_TIME2_fence),ISNUMBER(k_soil),ISNUMBER(Clocal_soil_brush_fence)),Esoil_leach_TIME2_fence/(Vsoil_fence*RHOsoil_fence*k_soil)-(Esoil_leach_TIME2_fence/(Vsoil_fence*RHOsoil_fence*k_soil)-Clocal_soil_brush_fence)*EXP(-TIME2_fence*k_soil),"??")</f>
        <v>??</v>
      </c>
      <c r="G193" s="19" t="s">
        <v>807</v>
      </c>
      <c r="H193" s="7" t="s">
        <v>8</v>
      </c>
      <c r="I193" s="146" t="s">
        <v>585</v>
      </c>
    </row>
    <row r="194" spans="1:11" s="8" customFormat="1" ht="5.0999999999999996" customHeight="1" x14ac:dyDescent="0.2">
      <c r="A194" s="10"/>
      <c r="B194" s="235"/>
      <c r="C194" s="235"/>
      <c r="D194" s="235"/>
      <c r="E194" s="30"/>
      <c r="F194" s="236"/>
      <c r="G194" s="19"/>
      <c r="H194" s="7"/>
      <c r="I194" s="146"/>
    </row>
    <row r="195" spans="1:11" s="8" customFormat="1" ht="43.5" x14ac:dyDescent="0.2">
      <c r="A195" s="10"/>
      <c r="B195" s="362" t="s">
        <v>563</v>
      </c>
      <c r="C195" s="362"/>
      <c r="D195" s="288"/>
      <c r="E195" s="30" t="s">
        <v>691</v>
      </c>
      <c r="F195" s="228" t="str">
        <f>IF(AND(ISNUMBER(Esoil_leach_TIME3_fence),ISNUMBER(k_soil),ISNUMBER(Clocal_soil_brush_fence),ISNUMBER(TIME3_fence)),Esoil_leach_TIME3_fence/(Vsoil_fence*RHOsoil_fence*k_soil)-(Esoil_leach_TIME3_fence/(Vsoil_fence*RHOsoil_fence*k_soil)-Clocal_soil_brush_fence)*EXP(-TIME3_fence*k_soil),"??")</f>
        <v>??</v>
      </c>
      <c r="G195" s="19" t="s">
        <v>807</v>
      </c>
      <c r="H195" s="7" t="s">
        <v>8</v>
      </c>
      <c r="I195" s="146" t="s">
        <v>694</v>
      </c>
    </row>
    <row r="196" spans="1:11" s="8" customFormat="1" ht="5.0999999999999996" customHeight="1" x14ac:dyDescent="0.2">
      <c r="A196" s="10"/>
      <c r="B196" s="288"/>
      <c r="C196" s="288"/>
      <c r="D196" s="288"/>
      <c r="E196" s="30"/>
      <c r="F196" s="289"/>
      <c r="G196" s="19"/>
      <c r="H196" s="7"/>
      <c r="I196" s="146"/>
    </row>
    <row r="197" spans="1:11" s="8" customFormat="1" ht="15" x14ac:dyDescent="0.2">
      <c r="A197" s="10"/>
      <c r="B197" s="362" t="s">
        <v>560</v>
      </c>
      <c r="C197" s="362"/>
      <c r="D197" s="235"/>
      <c r="E197" s="30" t="s">
        <v>456</v>
      </c>
      <c r="F197" s="228" t="str">
        <f>IF(AND(ISNUMBER(Clocal_soil_TIME1_fence),ISNUMBER(Ksoil_water)),Clocal_soil_TIME1_fence*RHOsoil_fence*0.001/Ksoil_water,"??")</f>
        <v>??</v>
      </c>
      <c r="G197" s="19" t="s">
        <v>810</v>
      </c>
      <c r="H197" s="7" t="s">
        <v>8</v>
      </c>
      <c r="I197" s="146" t="s">
        <v>801</v>
      </c>
    </row>
    <row r="198" spans="1:11" s="8" customFormat="1" ht="5.0999999999999996" customHeight="1" x14ac:dyDescent="0.2">
      <c r="A198" s="10"/>
      <c r="B198" s="235"/>
      <c r="C198" s="235"/>
      <c r="D198" s="235"/>
      <c r="E198" s="30"/>
      <c r="F198" s="236"/>
      <c r="G198" s="19"/>
      <c r="H198" s="7"/>
      <c r="I198" s="146"/>
    </row>
    <row r="199" spans="1:11" s="8" customFormat="1" ht="15" x14ac:dyDescent="0.2">
      <c r="A199" s="10"/>
      <c r="B199" s="362" t="s">
        <v>705</v>
      </c>
      <c r="C199" s="362"/>
      <c r="D199" s="235"/>
      <c r="E199" s="30" t="s">
        <v>457</v>
      </c>
      <c r="F199" s="228" t="str">
        <f>IF(AND(ISNUMBER(Clocal_soil_TIME2_fence),ISNUMBER(Ksoil_water)),Clocal_soil_TIME2_fence*RHOsoil_fence*0.001/Ksoil_water,"??")</f>
        <v>??</v>
      </c>
      <c r="G199" s="19" t="s">
        <v>810</v>
      </c>
      <c r="H199" s="7" t="s">
        <v>8</v>
      </c>
      <c r="I199" s="146" t="s">
        <v>802</v>
      </c>
    </row>
    <row r="200" spans="1:11" s="8" customFormat="1" ht="5.0999999999999996" customHeight="1" x14ac:dyDescent="0.2">
      <c r="A200" s="10"/>
      <c r="B200" s="288"/>
      <c r="C200" s="288"/>
      <c r="D200" s="288"/>
      <c r="E200" s="30"/>
      <c r="F200" s="289"/>
      <c r="G200" s="19"/>
      <c r="H200" s="7"/>
      <c r="I200" s="146"/>
    </row>
    <row r="201" spans="1:11" s="8" customFormat="1" ht="15" x14ac:dyDescent="0.2">
      <c r="A201" s="10"/>
      <c r="B201" s="362" t="s">
        <v>561</v>
      </c>
      <c r="C201" s="362"/>
      <c r="D201" s="288"/>
      <c r="E201" s="30" t="s">
        <v>692</v>
      </c>
      <c r="F201" s="228" t="str">
        <f>IF(AND(ISNUMBER(Clocal_soil_TIME3_fence),ISNUMBER(Ksoil_water)),Clocal_soil_TIME3_fence*RHOsoil_fence*0.001/Ksoil_water,"??")</f>
        <v>??</v>
      </c>
      <c r="G201" s="19" t="s">
        <v>810</v>
      </c>
      <c r="H201" s="7" t="s">
        <v>8</v>
      </c>
      <c r="I201" s="146" t="s">
        <v>803</v>
      </c>
    </row>
    <row r="202" spans="1:11" s="8" customFormat="1" x14ac:dyDescent="0.2">
      <c r="A202" s="10"/>
      <c r="B202" s="241"/>
      <c r="C202" s="241"/>
      <c r="D202" s="235"/>
      <c r="E202" s="30"/>
      <c r="F202" s="30"/>
      <c r="G202" s="7"/>
      <c r="H202" s="7"/>
      <c r="I202" s="146"/>
    </row>
    <row r="203" spans="1:11" s="8" customFormat="1" x14ac:dyDescent="0.2">
      <c r="B203" s="86" t="s">
        <v>12</v>
      </c>
      <c r="C203" s="86"/>
      <c r="F203" s="87"/>
      <c r="G203" s="88"/>
      <c r="H203" s="74"/>
      <c r="I203" s="85"/>
    </row>
    <row r="204" spans="1:11" s="73" customFormat="1" collapsed="1" x14ac:dyDescent="0.2">
      <c r="C204" s="115"/>
      <c r="G204" s="94"/>
      <c r="I204" s="94"/>
    </row>
    <row r="205" spans="1:11" s="73" customFormat="1" x14ac:dyDescent="0.2">
      <c r="B205" s="307" t="s">
        <v>818</v>
      </c>
      <c r="C205" s="115"/>
      <c r="G205" s="305"/>
      <c r="I205" s="305"/>
    </row>
    <row r="206" spans="1:11" s="73" customFormat="1" x14ac:dyDescent="0.2">
      <c r="B206" s="307"/>
      <c r="C206" s="115"/>
      <c r="G206" s="349"/>
      <c r="I206" s="349"/>
    </row>
    <row r="207" spans="1:11" s="73" customFormat="1" x14ac:dyDescent="0.2">
      <c r="B207" s="366"/>
      <c r="C207" s="366"/>
      <c r="D207" s="366"/>
      <c r="E207" s="366"/>
      <c r="F207" s="366"/>
      <c r="G207" s="366"/>
      <c r="H207" s="366"/>
      <c r="I207" s="366"/>
    </row>
    <row r="208" spans="1:11" ht="15" x14ac:dyDescent="0.2">
      <c r="A208" s="10"/>
      <c r="B208" s="201" t="s">
        <v>611</v>
      </c>
      <c r="C208" s="80"/>
      <c r="D208" s="81"/>
      <c r="E208" s="81"/>
      <c r="F208" s="10"/>
      <c r="G208" s="10"/>
      <c r="H208" s="10"/>
      <c r="I208" s="10"/>
      <c r="J208" s="10"/>
      <c r="K208" s="10"/>
    </row>
    <row r="209" spans="1:45" ht="15" x14ac:dyDescent="0.2">
      <c r="A209" s="10"/>
      <c r="B209" s="73"/>
      <c r="C209" s="18"/>
      <c r="D209" s="31"/>
      <c r="E209" s="31"/>
      <c r="F209" s="31"/>
      <c r="G209" s="31"/>
      <c r="H209" s="31"/>
      <c r="I209" s="31"/>
      <c r="J209" s="10"/>
      <c r="K209" s="10"/>
      <c r="L209" s="10"/>
      <c r="M209" s="10"/>
    </row>
    <row r="210" spans="1:45" x14ac:dyDescent="0.2">
      <c r="A210" s="10"/>
      <c r="B210" s="82" t="s">
        <v>19</v>
      </c>
      <c r="C210" s="82"/>
      <c r="D210" s="82"/>
      <c r="E210" s="77"/>
      <c r="F210" s="77"/>
      <c r="G210" s="77"/>
      <c r="H210" s="77"/>
      <c r="I210" s="83"/>
      <c r="AS210" s="11"/>
    </row>
    <row r="211" spans="1:45" x14ac:dyDescent="0.2">
      <c r="A211" s="10"/>
      <c r="B211" s="366" t="s">
        <v>719</v>
      </c>
      <c r="C211" s="366"/>
      <c r="D211" s="366"/>
      <c r="E211" s="366"/>
      <c r="F211" s="366"/>
      <c r="G211" s="366"/>
      <c r="H211" s="366"/>
      <c r="I211" s="366"/>
      <c r="AS211" s="11"/>
    </row>
    <row r="212" spans="1:45" ht="14.25" x14ac:dyDescent="0.2">
      <c r="A212" s="10"/>
      <c r="B212" s="383" t="s">
        <v>720</v>
      </c>
      <c r="C212" s="383"/>
      <c r="D212" s="383"/>
      <c r="E212" s="383"/>
      <c r="F212" s="383"/>
      <c r="G212" s="383"/>
      <c r="H212" s="383"/>
      <c r="I212" s="383"/>
      <c r="AS212" s="11"/>
    </row>
    <row r="213" spans="1:45" ht="25.15" customHeight="1" x14ac:dyDescent="0.2">
      <c r="A213" s="10"/>
      <c r="B213" s="366" t="s">
        <v>965</v>
      </c>
      <c r="C213" s="366"/>
      <c r="D213" s="366"/>
      <c r="E213" s="366"/>
      <c r="F213" s="366"/>
      <c r="G213" s="366"/>
      <c r="H213" s="366"/>
      <c r="I213" s="366"/>
      <c r="AS213" s="11"/>
    </row>
    <row r="214" spans="1:45" x14ac:dyDescent="0.2">
      <c r="A214" s="10"/>
      <c r="B214" s="366" t="s">
        <v>363</v>
      </c>
      <c r="C214" s="366"/>
      <c r="D214" s="366"/>
      <c r="E214" s="366"/>
      <c r="F214" s="366"/>
      <c r="G214" s="366"/>
      <c r="H214" s="366"/>
      <c r="I214" s="366"/>
      <c r="J214" s="10"/>
      <c r="K214" s="10"/>
      <c r="L214" s="10"/>
      <c r="M214" s="10"/>
      <c r="N214" s="10"/>
      <c r="O214" s="10"/>
      <c r="P214" s="10"/>
      <c r="Q214" s="10"/>
    </row>
    <row r="215" spans="1:45" s="8" customFormat="1" ht="3" customHeight="1" x14ac:dyDescent="0.2">
      <c r="A215" s="10"/>
      <c r="D215" s="31"/>
      <c r="E215" s="32"/>
      <c r="F215" s="84"/>
      <c r="G215" s="84"/>
      <c r="H215" s="84"/>
      <c r="I215" s="10"/>
      <c r="J215" s="10"/>
      <c r="K215" s="10"/>
      <c r="L215" s="10"/>
    </row>
    <row r="216" spans="1:45" ht="15" x14ac:dyDescent="0.2">
      <c r="A216" s="10"/>
      <c r="B216" s="4" t="s">
        <v>0</v>
      </c>
      <c r="C216" s="4"/>
      <c r="D216" s="4"/>
      <c r="E216" s="12"/>
      <c r="F216" s="12"/>
      <c r="G216" s="12"/>
      <c r="H216" s="12"/>
      <c r="I216" s="13"/>
      <c r="AS216" s="11"/>
    </row>
    <row r="217" spans="1:45" x14ac:dyDescent="0.2">
      <c r="A217" s="10"/>
      <c r="B217" s="6"/>
      <c r="C217" s="6"/>
      <c r="D217" s="6"/>
      <c r="E217" s="6"/>
      <c r="F217" s="6"/>
      <c r="G217" s="6"/>
      <c r="H217" s="6"/>
      <c r="I217" s="22"/>
      <c r="AS217" s="11"/>
    </row>
    <row r="218" spans="1:45" ht="15" x14ac:dyDescent="0.2">
      <c r="A218" s="10"/>
      <c r="B218" s="14" t="s">
        <v>2</v>
      </c>
      <c r="C218" s="14"/>
      <c r="D218" s="14"/>
      <c r="E218" s="15" t="s">
        <v>4</v>
      </c>
      <c r="F218" s="16" t="s">
        <v>7</v>
      </c>
      <c r="G218" s="16" t="s">
        <v>3</v>
      </c>
      <c r="H218" s="16" t="s">
        <v>11</v>
      </c>
      <c r="I218" s="15" t="s">
        <v>34</v>
      </c>
      <c r="AS218" s="11"/>
    </row>
    <row r="219" spans="1:45" x14ac:dyDescent="0.2">
      <c r="A219" s="10"/>
      <c r="B219" s="104"/>
      <c r="C219" s="14"/>
      <c r="D219" s="14"/>
      <c r="E219" s="15"/>
      <c r="F219" s="16"/>
      <c r="G219" s="16"/>
      <c r="H219" s="16"/>
      <c r="I219" s="15"/>
      <c r="AS219" s="11"/>
    </row>
    <row r="220" spans="1:45" ht="15" x14ac:dyDescent="0.2">
      <c r="A220" s="10"/>
      <c r="B220" s="362" t="s">
        <v>192</v>
      </c>
      <c r="C220" s="362"/>
      <c r="D220" s="14"/>
      <c r="E220" s="30" t="s">
        <v>214</v>
      </c>
      <c r="F220" s="272">
        <v>3000</v>
      </c>
      <c r="G220" s="7" t="s">
        <v>14</v>
      </c>
      <c r="H220" s="7" t="s">
        <v>13</v>
      </c>
      <c r="I220" s="15"/>
      <c r="AS220" s="11"/>
    </row>
    <row r="221" spans="1:45" ht="5.0999999999999996" customHeight="1" x14ac:dyDescent="0.2">
      <c r="A221" s="10"/>
      <c r="B221" s="104"/>
      <c r="C221" s="14"/>
      <c r="D221" s="14"/>
      <c r="E221" s="15"/>
      <c r="F221" s="275"/>
      <c r="G221" s="7"/>
      <c r="H221" s="7"/>
      <c r="I221" s="15"/>
      <c r="AS221" s="11"/>
    </row>
    <row r="222" spans="1:45" s="8" customFormat="1" x14ac:dyDescent="0.2">
      <c r="B222" s="362" t="s">
        <v>72</v>
      </c>
      <c r="C222" s="362"/>
      <c r="D222" s="34"/>
      <c r="E222" s="104" t="s">
        <v>73</v>
      </c>
      <c r="F222" s="273">
        <v>30</v>
      </c>
      <c r="G222" s="7" t="s">
        <v>10</v>
      </c>
      <c r="H222" s="7" t="s">
        <v>13</v>
      </c>
      <c r="I222" s="34"/>
    </row>
    <row r="223" spans="1:45" s="8" customFormat="1" ht="5.0999999999999996" customHeight="1" x14ac:dyDescent="0.2">
      <c r="B223" s="362"/>
      <c r="C223" s="362"/>
      <c r="D223" s="34"/>
      <c r="E223" s="22"/>
      <c r="F223" s="7"/>
      <c r="G223" s="19"/>
      <c r="H223" s="7"/>
      <c r="I223" s="34"/>
    </row>
    <row r="224" spans="1:45" s="8" customFormat="1" ht="39.950000000000003" customHeight="1" x14ac:dyDescent="0.2">
      <c r="B224" s="362" t="s">
        <v>677</v>
      </c>
      <c r="C224" s="362"/>
      <c r="D224" s="34"/>
      <c r="E224" s="290" t="s">
        <v>75</v>
      </c>
      <c r="F224" s="273">
        <v>365</v>
      </c>
      <c r="G224" s="7" t="s">
        <v>10</v>
      </c>
      <c r="H224" s="7" t="s">
        <v>13</v>
      </c>
      <c r="I224" s="146" t="s">
        <v>966</v>
      </c>
    </row>
    <row r="225" spans="2:9" s="8" customFormat="1" ht="5.0999999999999996" customHeight="1" thickBot="1" x14ac:dyDescent="0.25">
      <c r="B225" s="362"/>
      <c r="C225" s="362"/>
      <c r="D225" s="34"/>
      <c r="E225" s="22"/>
      <c r="F225" s="7"/>
      <c r="G225" s="19"/>
      <c r="H225" s="7"/>
      <c r="I225" s="34"/>
    </row>
    <row r="226" spans="2:9" s="8" customFormat="1" ht="27" thickTop="1" thickBot="1" x14ac:dyDescent="0.25">
      <c r="B226" s="30" t="s">
        <v>675</v>
      </c>
      <c r="C226" s="313" t="s">
        <v>466</v>
      </c>
      <c r="D226" s="34"/>
      <c r="E226" s="22" t="s">
        <v>676</v>
      </c>
      <c r="F226" s="23" t="str">
        <f>INDEX('Pick-lists &amp; Defaults'!C104:C109,MATCH(C226,application_method_process,0))</f>
        <v>??</v>
      </c>
      <c r="G226" s="19" t="s">
        <v>10</v>
      </c>
      <c r="H226" s="7" t="s">
        <v>20</v>
      </c>
      <c r="I226" s="146" t="s">
        <v>471</v>
      </c>
    </row>
    <row r="227" spans="2:9" s="8" customFormat="1" ht="5.0999999999999996" customHeight="1" thickTop="1" x14ac:dyDescent="0.2">
      <c r="B227" s="104"/>
      <c r="C227" s="104"/>
      <c r="D227" s="104"/>
      <c r="E227" s="30"/>
      <c r="F227" s="7"/>
      <c r="G227" s="7"/>
      <c r="H227" s="7"/>
      <c r="I227" s="7"/>
    </row>
    <row r="228" spans="2:9" s="8" customFormat="1" ht="33" customHeight="1" x14ac:dyDescent="0.2">
      <c r="B228" s="362" t="s">
        <v>193</v>
      </c>
      <c r="C228" s="362"/>
      <c r="D228" s="34"/>
      <c r="E228" s="104" t="s">
        <v>194</v>
      </c>
      <c r="F228" s="274"/>
      <c r="G228" s="19" t="s">
        <v>813</v>
      </c>
      <c r="H228" s="7" t="s">
        <v>6</v>
      </c>
      <c r="I228" s="34"/>
    </row>
    <row r="229" spans="2:9" s="8" customFormat="1" ht="5.0999999999999996" customHeight="1" x14ac:dyDescent="0.2">
      <c r="B229" s="290"/>
      <c r="C229" s="290"/>
      <c r="D229" s="34"/>
      <c r="E229" s="290"/>
      <c r="F229" s="290"/>
      <c r="G229" s="19"/>
      <c r="H229" s="7"/>
      <c r="I229" s="34"/>
    </row>
    <row r="230" spans="2:9" s="8" customFormat="1" ht="39.950000000000003" customHeight="1" x14ac:dyDescent="0.2">
      <c r="B230" s="362" t="s">
        <v>683</v>
      </c>
      <c r="C230" s="362"/>
      <c r="D230" s="34"/>
      <c r="E230" s="290" t="s">
        <v>196</v>
      </c>
      <c r="F230" s="274"/>
      <c r="G230" s="19" t="s">
        <v>813</v>
      </c>
      <c r="H230" s="7" t="s">
        <v>6</v>
      </c>
      <c r="I230" s="107"/>
    </row>
    <row r="231" spans="2:9" s="8" customFormat="1" ht="5.0999999999999996" customHeight="1" x14ac:dyDescent="0.2">
      <c r="B231" s="290"/>
      <c r="C231" s="290"/>
      <c r="D231" s="34"/>
      <c r="E231" s="22"/>
      <c r="F231" s="273"/>
      <c r="G231" s="19"/>
      <c r="H231" s="7"/>
      <c r="I231" s="34"/>
    </row>
    <row r="232" spans="2:9" s="8" customFormat="1" ht="33" customHeight="1" x14ac:dyDescent="0.2">
      <c r="B232" s="362" t="s">
        <v>195</v>
      </c>
      <c r="C232" s="362"/>
      <c r="D232" s="34"/>
      <c r="E232" s="104" t="s">
        <v>684</v>
      </c>
      <c r="F232" s="274"/>
      <c r="G232" s="19" t="s">
        <v>813</v>
      </c>
      <c r="H232" s="7" t="s">
        <v>6</v>
      </c>
      <c r="I232" s="92"/>
    </row>
    <row r="233" spans="2:9" s="8" customFormat="1" ht="5.0999999999999996" customHeight="1" x14ac:dyDescent="0.2">
      <c r="B233" s="104"/>
      <c r="C233" s="104"/>
      <c r="D233" s="34"/>
      <c r="E233" s="22"/>
      <c r="F233" s="273"/>
      <c r="G233" s="19"/>
      <c r="H233" s="7"/>
      <c r="I233" s="34"/>
    </row>
    <row r="234" spans="2:9" s="8" customFormat="1" ht="15" x14ac:dyDescent="0.2">
      <c r="B234" s="104" t="s">
        <v>197</v>
      </c>
      <c r="C234" s="104"/>
      <c r="D234" s="34"/>
      <c r="E234" s="22" t="s">
        <v>23</v>
      </c>
      <c r="F234" s="273">
        <v>250</v>
      </c>
      <c r="G234" s="19" t="s">
        <v>285</v>
      </c>
      <c r="H234" s="7" t="s">
        <v>13</v>
      </c>
      <c r="I234" s="107"/>
    </row>
    <row r="235" spans="2:9" s="8" customFormat="1" ht="5.0999999999999996" customHeight="1" x14ac:dyDescent="0.2">
      <c r="B235" s="104"/>
      <c r="C235" s="104"/>
      <c r="D235" s="34"/>
      <c r="E235" s="22"/>
      <c r="F235" s="273"/>
      <c r="G235" s="19"/>
      <c r="H235" s="7"/>
      <c r="I235" s="34"/>
    </row>
    <row r="236" spans="2:9" s="8" customFormat="1" ht="15" x14ac:dyDescent="0.2">
      <c r="B236" s="104" t="s">
        <v>25</v>
      </c>
      <c r="C236" s="104"/>
      <c r="D236" s="34"/>
      <c r="E236" s="22" t="s">
        <v>30</v>
      </c>
      <c r="F236" s="273">
        <v>1700</v>
      </c>
      <c r="G236" s="19" t="s">
        <v>169</v>
      </c>
      <c r="H236" s="7" t="s">
        <v>13</v>
      </c>
      <c r="I236" s="34"/>
    </row>
    <row r="237" spans="2:9" s="8" customFormat="1" ht="5.0999999999999996" customHeight="1" x14ac:dyDescent="0.2">
      <c r="B237" s="104"/>
      <c r="C237" s="104"/>
      <c r="D237" s="34"/>
      <c r="E237" s="22"/>
      <c r="F237" s="273"/>
      <c r="G237" s="19"/>
      <c r="H237" s="7"/>
      <c r="I237" s="34"/>
    </row>
    <row r="238" spans="2:9" s="8" customFormat="1" ht="14.25" x14ac:dyDescent="0.2">
      <c r="B238" s="104" t="s">
        <v>215</v>
      </c>
      <c r="C238" s="104"/>
      <c r="D238" s="34"/>
      <c r="E238" s="22" t="s">
        <v>217</v>
      </c>
      <c r="F238" s="273">
        <v>0.3</v>
      </c>
      <c r="G238" s="19" t="s">
        <v>5</v>
      </c>
      <c r="H238" s="7" t="s">
        <v>13</v>
      </c>
      <c r="I238" s="34"/>
    </row>
    <row r="239" spans="2:9" s="8" customFormat="1" ht="5.0999999999999996" customHeight="1" x14ac:dyDescent="0.2">
      <c r="B239" s="104"/>
      <c r="C239" s="104"/>
      <c r="D239" s="34"/>
      <c r="E239" s="22"/>
      <c r="F239" s="273"/>
      <c r="G239" s="19"/>
      <c r="H239" s="7"/>
      <c r="I239" s="34"/>
    </row>
    <row r="240" spans="2:9" s="8" customFormat="1" ht="14.25" x14ac:dyDescent="0.2">
      <c r="B240" s="104" t="s">
        <v>216</v>
      </c>
      <c r="C240" s="104"/>
      <c r="D240" s="34"/>
      <c r="E240" s="22" t="s">
        <v>218</v>
      </c>
      <c r="F240" s="273">
        <v>0.7</v>
      </c>
      <c r="G240" s="19" t="s">
        <v>5</v>
      </c>
      <c r="H240" s="7" t="s">
        <v>13</v>
      </c>
      <c r="I240" s="34"/>
    </row>
    <row r="241" spans="1:9" s="8" customFormat="1" x14ac:dyDescent="0.2">
      <c r="B241" s="171"/>
      <c r="C241" s="171"/>
      <c r="D241" s="34"/>
      <c r="E241" s="22"/>
      <c r="F241" s="7"/>
      <c r="G241" s="19"/>
      <c r="H241" s="7"/>
      <c r="I241" s="34"/>
    </row>
    <row r="242" spans="1:9" s="8" customFormat="1" x14ac:dyDescent="0.2">
      <c r="B242" s="244" t="s">
        <v>558</v>
      </c>
      <c r="C242" s="244"/>
      <c r="D242" s="34"/>
      <c r="E242" s="22"/>
      <c r="F242" s="7"/>
      <c r="G242" s="19"/>
      <c r="H242" s="7"/>
      <c r="I242" s="34"/>
    </row>
    <row r="243" spans="1:9" s="8" customFormat="1" x14ac:dyDescent="0.2">
      <c r="B243" s="171"/>
      <c r="C243" s="171"/>
      <c r="D243" s="34"/>
      <c r="E243" s="22"/>
      <c r="F243" s="7"/>
      <c r="G243" s="19"/>
      <c r="H243" s="7"/>
      <c r="I243" s="34"/>
    </row>
    <row r="244" spans="1:9" s="8" customFormat="1" ht="15.75" thickBot="1" x14ac:dyDescent="0.25">
      <c r="B244" s="362" t="s">
        <v>448</v>
      </c>
      <c r="C244" s="362"/>
      <c r="D244" s="14"/>
      <c r="E244" s="30" t="s">
        <v>449</v>
      </c>
      <c r="F244" s="191" t="str">
        <f>IF(ISNUMBER(Ksoil_water),Ksoil_water,"")</f>
        <v/>
      </c>
      <c r="G244" s="7" t="s">
        <v>450</v>
      </c>
      <c r="H244" s="7" t="s">
        <v>6</v>
      </c>
      <c r="I244" s="34" t="s">
        <v>499</v>
      </c>
    </row>
    <row r="245" spans="1:9" s="8" customFormat="1" ht="5.0999999999999996" customHeight="1" thickTop="1" x14ac:dyDescent="0.2">
      <c r="B245" s="171"/>
      <c r="C245" s="171"/>
      <c r="D245" s="34"/>
      <c r="E245" s="22"/>
      <c r="F245" s="7"/>
      <c r="G245" s="19"/>
      <c r="H245" s="7"/>
      <c r="I245" s="34"/>
    </row>
    <row r="246" spans="1:9" s="8" customFormat="1" ht="15.75" customHeight="1" thickBot="1" x14ac:dyDescent="0.25">
      <c r="B246" s="362" t="s">
        <v>442</v>
      </c>
      <c r="C246" s="362"/>
      <c r="D246" s="34"/>
      <c r="E246" s="22" t="s">
        <v>653</v>
      </c>
      <c r="F246" s="191" t="str">
        <f>IF(ISNUMBER(k_soil), k_soil, "")</f>
        <v/>
      </c>
      <c r="G246" s="19" t="s">
        <v>443</v>
      </c>
      <c r="H246" s="7" t="s">
        <v>6</v>
      </c>
      <c r="I246" s="34" t="s">
        <v>499</v>
      </c>
    </row>
    <row r="247" spans="1:9" s="8" customFormat="1" ht="13.5" thickTop="1" x14ac:dyDescent="0.2">
      <c r="B247" s="104"/>
      <c r="C247" s="104"/>
      <c r="D247" s="34"/>
      <c r="E247" s="22"/>
      <c r="F247" s="7"/>
      <c r="G247" s="19"/>
      <c r="H247" s="7"/>
      <c r="I247" s="34"/>
    </row>
    <row r="248" spans="1:9" ht="15" x14ac:dyDescent="0.2">
      <c r="A248" s="10"/>
      <c r="B248" s="4" t="s">
        <v>1</v>
      </c>
      <c r="C248" s="4"/>
      <c r="D248" s="4"/>
      <c r="E248" s="4"/>
      <c r="F248" s="12"/>
      <c r="G248" s="12"/>
      <c r="H248" s="12"/>
      <c r="I248" s="12"/>
    </row>
    <row r="249" spans="1:9" x14ac:dyDescent="0.2">
      <c r="A249" s="10"/>
      <c r="B249" s="6"/>
      <c r="C249" s="6"/>
      <c r="D249" s="6"/>
      <c r="E249" s="6"/>
      <c r="F249" s="6"/>
      <c r="G249" s="6"/>
      <c r="H249" s="6"/>
      <c r="I249" s="6"/>
    </row>
    <row r="250" spans="1:9" ht="15" x14ac:dyDescent="0.2">
      <c r="A250" s="10"/>
      <c r="B250" s="14" t="s">
        <v>2</v>
      </c>
      <c r="C250" s="14"/>
      <c r="D250" s="14"/>
      <c r="E250" s="15" t="s">
        <v>4</v>
      </c>
      <c r="F250" s="16" t="s">
        <v>7</v>
      </c>
      <c r="G250" s="16" t="s">
        <v>3</v>
      </c>
      <c r="H250" s="16" t="s">
        <v>11</v>
      </c>
      <c r="I250" s="15" t="s">
        <v>34</v>
      </c>
    </row>
    <row r="251" spans="1:9" x14ac:dyDescent="0.2">
      <c r="A251" s="10"/>
      <c r="B251" s="14"/>
      <c r="C251" s="14"/>
      <c r="D251" s="14"/>
      <c r="E251" s="15"/>
      <c r="F251" s="16"/>
      <c r="G251" s="16"/>
      <c r="H251" s="16"/>
      <c r="I251" s="15"/>
    </row>
    <row r="252" spans="1:9" s="8" customFormat="1" ht="15" x14ac:dyDescent="0.2">
      <c r="A252" s="10"/>
      <c r="B252" s="362" t="s">
        <v>198</v>
      </c>
      <c r="C252" s="362"/>
      <c r="D252" s="30"/>
      <c r="E252" s="30" t="s">
        <v>202</v>
      </c>
      <c r="F252" s="228" t="str">
        <f>IF(ISNUMBER(Q_leach_TIME1_noisebarrier),AREAnoise_barrier*Fsoil_noisebarrier*Q_leach_TIME1_noisebarrier,"??")</f>
        <v>??</v>
      </c>
      <c r="G252" s="19" t="s">
        <v>794</v>
      </c>
      <c r="H252" s="7" t="s">
        <v>8</v>
      </c>
      <c r="I252" s="126" t="s">
        <v>225</v>
      </c>
    </row>
    <row r="253" spans="1:9" s="8" customFormat="1" ht="5.0999999999999996" customHeight="1" x14ac:dyDescent="0.2">
      <c r="A253" s="10"/>
      <c r="B253" s="152"/>
      <c r="C253" s="152"/>
      <c r="D253" s="152"/>
      <c r="E253" s="30"/>
      <c r="F253" s="30"/>
      <c r="G253" s="19"/>
      <c r="H253" s="7"/>
      <c r="I253" s="20"/>
    </row>
    <row r="254" spans="1:9" s="8" customFormat="1" ht="24.95" customHeight="1" x14ac:dyDescent="0.2">
      <c r="A254" s="10"/>
      <c r="B254" s="362" t="s">
        <v>703</v>
      </c>
      <c r="C254" s="362"/>
      <c r="D254" s="30"/>
      <c r="E254" s="30" t="s">
        <v>203</v>
      </c>
      <c r="F254" s="228" t="str">
        <f>IF(ISNUMBER(Q_leach_TIME2_noisebarrier),AREAnoise_barrier*Fsoil_noisebarrier*Q_leach_TIME2_noisebarrier,"??")</f>
        <v>??</v>
      </c>
      <c r="G254" s="19" t="s">
        <v>794</v>
      </c>
      <c r="H254" s="7" t="s">
        <v>8</v>
      </c>
      <c r="I254" s="126" t="s">
        <v>226</v>
      </c>
    </row>
    <row r="255" spans="1:9" s="8" customFormat="1" ht="5.0999999999999996" customHeight="1" x14ac:dyDescent="0.2">
      <c r="A255" s="10"/>
      <c r="B255" s="290"/>
      <c r="C255" s="290"/>
      <c r="D255" s="290"/>
      <c r="E255" s="30"/>
      <c r="F255" s="30"/>
      <c r="G255" s="19"/>
      <c r="H255" s="7"/>
      <c r="I255" s="20"/>
    </row>
    <row r="256" spans="1:9" s="8" customFormat="1" ht="15" x14ac:dyDescent="0.2">
      <c r="A256" s="10"/>
      <c r="B256" s="362" t="s">
        <v>199</v>
      </c>
      <c r="C256" s="362"/>
      <c r="D256" s="30"/>
      <c r="E256" s="30" t="s">
        <v>678</v>
      </c>
      <c r="F256" s="228" t="str">
        <f>IF(ISNUMBER(Q_leach_TIME3_noisebarrier),AREAnoise_barrier*Fsoil_noisebarrier*Q_leach_TIME3_noisebarrier,"??")</f>
        <v>??</v>
      </c>
      <c r="G256" s="19" t="s">
        <v>794</v>
      </c>
      <c r="H256" s="7" t="s">
        <v>8</v>
      </c>
      <c r="I256" s="126" t="s">
        <v>695</v>
      </c>
    </row>
    <row r="257" spans="1:10" x14ac:dyDescent="0.2">
      <c r="A257" s="10"/>
      <c r="B257" s="14"/>
      <c r="C257" s="14"/>
      <c r="D257" s="14"/>
      <c r="E257" s="15"/>
      <c r="F257" s="16"/>
      <c r="G257" s="16"/>
      <c r="H257" s="16"/>
      <c r="I257" s="15"/>
    </row>
    <row r="258" spans="1:10" x14ac:dyDescent="0.2">
      <c r="A258" s="10"/>
      <c r="B258" s="121" t="s">
        <v>223</v>
      </c>
      <c r="C258" s="14"/>
      <c r="D258" s="14"/>
      <c r="E258" s="15"/>
      <c r="F258" s="16"/>
      <c r="G258" s="16"/>
      <c r="H258" s="16"/>
      <c r="I258" s="15"/>
    </row>
    <row r="259" spans="1:10" s="8" customFormat="1" ht="25.15" customHeight="1" x14ac:dyDescent="0.2">
      <c r="A259" s="10"/>
      <c r="B259" s="362" t="s">
        <v>491</v>
      </c>
      <c r="C259" s="362"/>
      <c r="D259" s="30"/>
      <c r="E259" s="30" t="s">
        <v>452</v>
      </c>
      <c r="F259" s="228" t="str">
        <f>IF(ISNUMBER(Q_leach_TIME1_noisebarrier),AREAnoise_barrier*Fsoil_noisebarrier*Q_leach_TIME1_noisebarrier/TIME1_noisebarrier,"??")</f>
        <v>??</v>
      </c>
      <c r="G259" s="19" t="s">
        <v>814</v>
      </c>
      <c r="H259" s="7" t="s">
        <v>8</v>
      </c>
      <c r="I259" s="146" t="s">
        <v>500</v>
      </c>
      <c r="J259" s="192"/>
    </row>
    <row r="260" spans="1:10" s="8" customFormat="1" ht="5.0999999999999996" customHeight="1" x14ac:dyDescent="0.2">
      <c r="A260" s="10"/>
      <c r="B260" s="290"/>
      <c r="C260" s="290"/>
      <c r="D260" s="290"/>
      <c r="E260" s="30"/>
      <c r="F260" s="292"/>
      <c r="G260" s="19"/>
      <c r="H260" s="7"/>
      <c r="I260" s="146"/>
    </row>
    <row r="261" spans="1:10" s="8" customFormat="1" ht="25.15" customHeight="1" x14ac:dyDescent="0.2">
      <c r="A261" s="10"/>
      <c r="B261" s="362" t="s">
        <v>688</v>
      </c>
      <c r="C261" s="362"/>
      <c r="D261" s="290"/>
      <c r="E261" s="30" t="s">
        <v>453</v>
      </c>
      <c r="F261" s="228" t="str">
        <f>IF(ISNUMBER(Q_leach_TIME2_noisebarrier),AREAnoise_barrier*Fsoil_noisebarrier*Q_leach_TIME2_noisebarrier/TIME2_noisebarrier,"??")</f>
        <v>??</v>
      </c>
      <c r="G261" s="19" t="s">
        <v>814</v>
      </c>
      <c r="H261" s="7" t="s">
        <v>8</v>
      </c>
      <c r="I261" s="146" t="s">
        <v>501</v>
      </c>
      <c r="J261" s="192"/>
    </row>
    <row r="262" spans="1:10" s="8" customFormat="1" ht="5.0999999999999996" customHeight="1" x14ac:dyDescent="0.2">
      <c r="A262" s="10"/>
      <c r="B262" s="171"/>
      <c r="C262" s="171"/>
      <c r="D262" s="171"/>
      <c r="E262" s="30"/>
      <c r="F262" s="147"/>
      <c r="G262" s="19"/>
      <c r="H262" s="7"/>
      <c r="I262" s="146"/>
    </row>
    <row r="263" spans="1:10" s="8" customFormat="1" ht="28.5" x14ac:dyDescent="0.2">
      <c r="A263" s="10"/>
      <c r="B263" s="362" t="s">
        <v>492</v>
      </c>
      <c r="C263" s="362"/>
      <c r="D263" s="171"/>
      <c r="E263" s="30" t="s">
        <v>689</v>
      </c>
      <c r="F263" s="228" t="str">
        <f>IF(AND(ISNUMBER(Q_leach_TIME3_noisebarrier),ISNUMBER(TIME3_noisebarrier)),AREAnoise_barrier*Fsoil_noisebarrier*Q_leach_TIME3_noisebarrier/TIME3_noisebarrier,"??")</f>
        <v>??</v>
      </c>
      <c r="G263" s="19" t="s">
        <v>814</v>
      </c>
      <c r="H263" s="7" t="s">
        <v>8</v>
      </c>
      <c r="I263" s="146" t="s">
        <v>699</v>
      </c>
      <c r="J263" s="192"/>
    </row>
    <row r="264" spans="1:10" s="8" customFormat="1" x14ac:dyDescent="0.2">
      <c r="A264" s="10"/>
      <c r="B264" s="346"/>
      <c r="C264" s="346"/>
      <c r="D264" s="346"/>
      <c r="E264" s="30"/>
      <c r="F264" s="228"/>
      <c r="G264" s="19"/>
      <c r="H264" s="7"/>
      <c r="I264" s="146"/>
      <c r="J264" s="192"/>
    </row>
    <row r="265" spans="1:10" s="8" customFormat="1" x14ac:dyDescent="0.2">
      <c r="A265" s="10"/>
      <c r="B265" s="121" t="s">
        <v>224</v>
      </c>
      <c r="C265" s="104"/>
      <c r="D265" s="104"/>
      <c r="E265" s="30"/>
      <c r="F265" s="16"/>
      <c r="G265" s="19"/>
      <c r="H265" s="7"/>
      <c r="I265" s="20"/>
    </row>
    <row r="266" spans="1:10" s="8" customFormat="1" ht="5.0999999999999996" customHeight="1" x14ac:dyDescent="0.2">
      <c r="A266" s="10"/>
      <c r="B266" s="104"/>
      <c r="C266" s="104"/>
      <c r="D266" s="104"/>
      <c r="E266" s="30"/>
      <c r="F266" s="16"/>
      <c r="G266" s="19"/>
      <c r="H266" s="7"/>
      <c r="I266" s="20"/>
    </row>
    <row r="267" spans="1:10" s="8" customFormat="1" ht="25.15" customHeight="1" x14ac:dyDescent="0.2">
      <c r="A267" s="10"/>
      <c r="B267" s="362" t="s">
        <v>219</v>
      </c>
      <c r="C267" s="362"/>
      <c r="D267" s="104"/>
      <c r="E267" s="30" t="s">
        <v>221</v>
      </c>
      <c r="F267" s="228" t="str">
        <f>IF(ISNUMBER(Q_leach_TIME1_noisebarrier),AREAnoise_barrier*FSTP_noisebarrier*Q_leach_TIME1_noisebarrier/TIME1_noisebarrier,"??")</f>
        <v>??</v>
      </c>
      <c r="G267" s="19" t="s">
        <v>814</v>
      </c>
      <c r="H267" s="7" t="s">
        <v>8</v>
      </c>
      <c r="I267" s="141" t="s">
        <v>227</v>
      </c>
    </row>
    <row r="268" spans="1:10" s="8" customFormat="1" ht="5.0999999999999996" customHeight="1" x14ac:dyDescent="0.2">
      <c r="A268" s="10"/>
      <c r="B268" s="290"/>
      <c r="C268" s="290"/>
      <c r="D268" s="290"/>
      <c r="E268" s="30"/>
      <c r="F268" s="16"/>
      <c r="G268" s="19"/>
      <c r="H268" s="7"/>
      <c r="I268" s="20"/>
    </row>
    <row r="269" spans="1:10" s="8" customFormat="1" ht="25.15" customHeight="1" x14ac:dyDescent="0.2">
      <c r="A269" s="10"/>
      <c r="B269" s="362" t="s">
        <v>696</v>
      </c>
      <c r="C269" s="362"/>
      <c r="D269" s="290"/>
      <c r="E269" s="30" t="s">
        <v>222</v>
      </c>
      <c r="F269" s="228" t="str">
        <f>IF(ISNUMBER(Q_leach_TIME2_noisebarrier),AREAnoise_barrier*FSTP_noisebarrier*Q_leach_TIME2_noisebarrier/TIME2_noisebarrier,"??")</f>
        <v>??</v>
      </c>
      <c r="G269" s="19" t="s">
        <v>814</v>
      </c>
      <c r="H269" s="7" t="s">
        <v>8</v>
      </c>
      <c r="I269" s="141" t="s">
        <v>228</v>
      </c>
    </row>
    <row r="270" spans="1:10" s="8" customFormat="1" ht="5.0999999999999996" customHeight="1" x14ac:dyDescent="0.2">
      <c r="A270" s="10"/>
      <c r="B270" s="104"/>
      <c r="C270" s="104"/>
      <c r="D270" s="104"/>
      <c r="E270" s="30"/>
      <c r="F270" s="16"/>
      <c r="G270" s="19"/>
      <c r="H270" s="7"/>
      <c r="I270" s="20"/>
    </row>
    <row r="271" spans="1:10" s="8" customFormat="1" ht="25.15" customHeight="1" x14ac:dyDescent="0.2">
      <c r="A271" s="10"/>
      <c r="B271" s="362" t="s">
        <v>220</v>
      </c>
      <c r="C271" s="362"/>
      <c r="D271" s="104"/>
      <c r="E271" s="30" t="s">
        <v>697</v>
      </c>
      <c r="F271" s="228" t="str">
        <f>IF(AND(ISNUMBER(TIME3_noisebarrier),ISNUMBER(Q_leach_TIME3_noisebarrier)),AREAnoise_barrier*FSTP_noisebarrier*Q_leach_TIME3_noisebarrier/TIME3_noisebarrier,"??")</f>
        <v>??</v>
      </c>
      <c r="G271" s="19" t="s">
        <v>814</v>
      </c>
      <c r="H271" s="7" t="s">
        <v>8</v>
      </c>
      <c r="I271" s="141" t="s">
        <v>698</v>
      </c>
    </row>
    <row r="272" spans="1:10" x14ac:dyDescent="0.2">
      <c r="A272" s="10"/>
      <c r="B272" s="14"/>
      <c r="C272" s="14"/>
      <c r="D272" s="14"/>
      <c r="E272" s="15"/>
      <c r="F272" s="16"/>
      <c r="G272" s="16"/>
      <c r="H272" s="16"/>
      <c r="I272" s="15"/>
    </row>
    <row r="273" spans="1:66" ht="15" x14ac:dyDescent="0.2">
      <c r="A273" s="10"/>
      <c r="B273" s="382" t="s">
        <v>596</v>
      </c>
      <c r="C273" s="382"/>
      <c r="D273" s="382"/>
      <c r="E273" s="382"/>
      <c r="F273" s="382"/>
      <c r="G273" s="382"/>
      <c r="H273" s="382"/>
      <c r="I273" s="382"/>
    </row>
    <row r="274" spans="1:66" x14ac:dyDescent="0.2">
      <c r="A274" s="10"/>
      <c r="B274" s="14"/>
      <c r="C274" s="14"/>
      <c r="D274" s="14"/>
      <c r="E274" s="15"/>
      <c r="F274" s="16"/>
      <c r="G274" s="16"/>
      <c r="H274" s="16"/>
      <c r="I274" s="15"/>
    </row>
    <row r="275" spans="1:66" s="8" customFormat="1" ht="5.0999999999999996" customHeight="1" x14ac:dyDescent="0.2">
      <c r="A275" s="10"/>
      <c r="B275" s="152"/>
      <c r="C275" s="152"/>
      <c r="D275" s="152"/>
      <c r="E275" s="30"/>
      <c r="F275" s="30"/>
      <c r="G275" s="19"/>
      <c r="H275" s="7"/>
      <c r="I275" s="20"/>
    </row>
    <row r="276" spans="1:66" s="8" customFormat="1" ht="15" customHeight="1" x14ac:dyDescent="0.2">
      <c r="A276" s="10"/>
      <c r="B276" s="362" t="s">
        <v>200</v>
      </c>
      <c r="C276" s="362"/>
      <c r="D276" s="30"/>
      <c r="E276" s="30" t="s">
        <v>204</v>
      </c>
      <c r="F276" s="228" t="str">
        <f>IF(ISNUMBER(QleachTIME1_noisebarrier),QleachTIME1_noisebarrier/(Vsoil_noisebarrier*RHOsoil_noisebarrier),"??")</f>
        <v>??</v>
      </c>
      <c r="G276" s="19" t="s">
        <v>807</v>
      </c>
      <c r="H276" s="7" t="s">
        <v>8</v>
      </c>
      <c r="I276" s="20" t="s">
        <v>209</v>
      </c>
    </row>
    <row r="277" spans="1:66" s="8" customFormat="1" ht="5.0999999999999996" customHeight="1" x14ac:dyDescent="0.2">
      <c r="A277" s="10"/>
      <c r="B277" s="290"/>
      <c r="C277" s="290"/>
      <c r="D277" s="30"/>
      <c r="E277" s="30"/>
      <c r="F277" s="30"/>
      <c r="G277" s="19"/>
      <c r="H277" s="7"/>
      <c r="I277" s="20"/>
    </row>
    <row r="278" spans="1:66" s="8" customFormat="1" ht="15" x14ac:dyDescent="0.2">
      <c r="A278" s="10"/>
      <c r="B278" s="362" t="s">
        <v>682</v>
      </c>
      <c r="C278" s="362"/>
      <c r="D278" s="30"/>
      <c r="E278" s="30" t="s">
        <v>205</v>
      </c>
      <c r="F278" s="228" t="str">
        <f>IF(ISNUMBER(QleachTIME2_noisebarrier),QleachTIME2_noisebarrier/(Vsoil_noisebarrier*RHOsoil_noisebarrier),"??")</f>
        <v>??</v>
      </c>
      <c r="G278" s="19" t="s">
        <v>807</v>
      </c>
      <c r="H278" s="7" t="s">
        <v>8</v>
      </c>
      <c r="I278" s="20" t="s">
        <v>208</v>
      </c>
    </row>
    <row r="279" spans="1:66" s="8" customFormat="1" ht="5.0999999999999996" customHeight="1" x14ac:dyDescent="0.2">
      <c r="A279" s="10"/>
      <c r="B279" s="152"/>
      <c r="C279" s="152"/>
      <c r="D279" s="152"/>
      <c r="E279" s="30"/>
      <c r="F279" s="30"/>
      <c r="G279" s="19"/>
      <c r="H279" s="7"/>
      <c r="I279" s="20"/>
    </row>
    <row r="280" spans="1:66" s="8" customFormat="1" ht="15" x14ac:dyDescent="0.2">
      <c r="A280" s="10"/>
      <c r="B280" s="362" t="s">
        <v>201</v>
      </c>
      <c r="C280" s="362"/>
      <c r="D280" s="30"/>
      <c r="E280" s="30" t="s">
        <v>681</v>
      </c>
      <c r="F280" s="228" t="str">
        <f>IF(ISNUMBER(QleachTIME3_noisebarrier),QleachTIME3_noisebarrier/(Vsoil_noisebarrier*RHOsoil_noisebarrier),"??")</f>
        <v>??</v>
      </c>
      <c r="G280" s="19" t="s">
        <v>807</v>
      </c>
      <c r="H280" s="7" t="s">
        <v>8</v>
      </c>
      <c r="I280" s="20" t="s">
        <v>680</v>
      </c>
    </row>
    <row r="281" spans="1:66" s="8" customFormat="1" x14ac:dyDescent="0.2">
      <c r="A281" s="10"/>
      <c r="B281" s="104"/>
      <c r="C281" s="104"/>
      <c r="D281" s="104"/>
      <c r="E281" s="30"/>
      <c r="F281" s="16"/>
      <c r="G281" s="19"/>
      <c r="H281" s="7"/>
      <c r="I281" s="20"/>
    </row>
    <row r="282" spans="1:66" s="8" customFormat="1" ht="15" x14ac:dyDescent="0.2">
      <c r="A282" s="10"/>
      <c r="B282" s="382" t="s">
        <v>559</v>
      </c>
      <c r="C282" s="382"/>
      <c r="D282" s="382"/>
      <c r="E282" s="382"/>
      <c r="F282" s="382"/>
      <c r="G282" s="382"/>
      <c r="H282" s="382"/>
      <c r="I282" s="382"/>
      <c r="J282" s="170"/>
      <c r="AT282" s="10"/>
      <c r="AU282" s="10"/>
      <c r="AV282" s="10"/>
      <c r="AW282" s="10"/>
      <c r="AX282" s="10"/>
      <c r="AY282" s="10"/>
      <c r="AZ282" s="10"/>
      <c r="BA282" s="10"/>
      <c r="BB282" s="10"/>
      <c r="BC282" s="10"/>
      <c r="BD282" s="10"/>
      <c r="BE282" s="10"/>
      <c r="BF282" s="10"/>
      <c r="BG282" s="10"/>
      <c r="BH282" s="10"/>
      <c r="BI282" s="10"/>
      <c r="BJ282" s="10"/>
      <c r="BK282" s="10"/>
      <c r="BL282" s="10"/>
      <c r="BM282" s="10"/>
      <c r="BN282" s="10"/>
    </row>
    <row r="283" spans="1:66" s="8" customFormat="1" x14ac:dyDescent="0.2">
      <c r="A283" s="10"/>
      <c r="B283" s="147"/>
      <c r="C283" s="147"/>
      <c r="D283" s="147"/>
      <c r="E283" s="147"/>
      <c r="F283" s="147"/>
      <c r="G283" s="7"/>
      <c r="H283" s="7"/>
      <c r="I283" s="20"/>
    </row>
    <row r="284" spans="1:66" s="8" customFormat="1" ht="30" x14ac:dyDescent="0.2">
      <c r="A284" s="10"/>
      <c r="B284" s="362" t="s">
        <v>562</v>
      </c>
      <c r="C284" s="362"/>
      <c r="D284" s="235"/>
      <c r="E284" s="30" t="s">
        <v>454</v>
      </c>
      <c r="F284" s="228" t="str">
        <f>IF(AND(ISNUMBER(Esoil_leach_TIME1_noisebarrier),ISNUMBER(k_soil)),Esoil_leach_TIME1_noisebarrier/(Vsoil_noisebarrier*RHOsoil_noisebarrier*k_soil)-(Esoil_leach_TIME1_noisebarrier/(Vsoil_noisebarrier*RHOsoil_noisebarrier*k_soil))*EXP(-TIME1_noisebarrier*k_soil),"??")</f>
        <v>??</v>
      </c>
      <c r="G284" s="19" t="s">
        <v>807</v>
      </c>
      <c r="H284" s="7" t="s">
        <v>8</v>
      </c>
      <c r="I284" s="146" t="s">
        <v>586</v>
      </c>
    </row>
    <row r="285" spans="1:66" s="8" customFormat="1" ht="5.0999999999999996" customHeight="1" x14ac:dyDescent="0.2">
      <c r="A285" s="10"/>
      <c r="B285" s="290"/>
      <c r="C285" s="290"/>
      <c r="D285" s="290"/>
      <c r="E285" s="30"/>
      <c r="F285" s="292"/>
      <c r="G285" s="19"/>
      <c r="H285" s="7"/>
      <c r="I285" s="146"/>
    </row>
    <row r="286" spans="1:66" s="8" customFormat="1" ht="30" x14ac:dyDescent="0.2">
      <c r="A286" s="10"/>
      <c r="B286" s="362" t="s">
        <v>700</v>
      </c>
      <c r="C286" s="362"/>
      <c r="D286" s="290"/>
      <c r="E286" s="30" t="s">
        <v>455</v>
      </c>
      <c r="F286" s="228" t="str">
        <f>IF(AND(ISNUMBER(Esoil_leach_TIME2_noisebarrier),ISNUMBER(k_soil),ISNUMBER(TIME2_noisebarrier)),Esoil_leach_TIME2_noisebarrier/(Vsoil_noisebarrier*RHOsoil_noisebarrier*k_soil)-(Esoil_leach_TIME2_noisebarrier/(Vsoil_noisebarrier*RHOsoil_noisebarrier*k_soil))*EXP(-TIME2_noisebarrier*k_soil),"??")</f>
        <v>??</v>
      </c>
      <c r="G286" s="19" t="s">
        <v>807</v>
      </c>
      <c r="H286" s="7" t="s">
        <v>8</v>
      </c>
      <c r="I286" s="146" t="s">
        <v>587</v>
      </c>
    </row>
    <row r="287" spans="1:66" s="8" customFormat="1" ht="5.0999999999999996" customHeight="1" x14ac:dyDescent="0.2">
      <c r="A287" s="10"/>
      <c r="B287" s="235"/>
      <c r="C287" s="235"/>
      <c r="D287" s="235"/>
      <c r="E287" s="30"/>
      <c r="F287" s="236"/>
      <c r="G287" s="19"/>
      <c r="H287" s="7"/>
      <c r="I287" s="146"/>
    </row>
    <row r="288" spans="1:66" s="8" customFormat="1" ht="30" x14ac:dyDescent="0.2">
      <c r="A288" s="10"/>
      <c r="B288" s="362" t="s">
        <v>563</v>
      </c>
      <c r="C288" s="362"/>
      <c r="D288" s="235"/>
      <c r="E288" s="30" t="s">
        <v>691</v>
      </c>
      <c r="F288" s="228" t="str">
        <f>IF(AND(ISNUMBER(Esoil_leach_TIME3_noisebarrier),ISNUMBER(k_soil),ISNUMBER(TIME3_noisebarrier)),Esoil_leach_TIME3_noisebarrier/(Vsoil_noisebarrier*RHOsoil_noisebarrier*k_soil)-(Esoil_leach_TIME3_noisebarrier/(Vsoil_noisebarrier*RHOsoil_noisebarrier*k_soil))*EXP(-TIME3_noisebarrier*k_soil),"??")</f>
        <v>??</v>
      </c>
      <c r="G288" s="19" t="s">
        <v>807</v>
      </c>
      <c r="H288" s="7" t="s">
        <v>8</v>
      </c>
      <c r="I288" s="146" t="s">
        <v>701</v>
      </c>
    </row>
    <row r="289" spans="1:45" s="8" customFormat="1" ht="5.0999999999999996" customHeight="1" x14ac:dyDescent="0.2">
      <c r="A289" s="10"/>
      <c r="B289" s="235"/>
      <c r="C289" s="235"/>
      <c r="D289" s="235"/>
      <c r="E289" s="30"/>
      <c r="F289" s="236"/>
      <c r="G289" s="19"/>
      <c r="H289" s="7"/>
      <c r="I289" s="146"/>
    </row>
    <row r="290" spans="1:45" s="8" customFormat="1" ht="15" x14ac:dyDescent="0.2">
      <c r="A290" s="10"/>
      <c r="B290" s="362" t="s">
        <v>560</v>
      </c>
      <c r="C290" s="362"/>
      <c r="D290" s="235"/>
      <c r="E290" s="30" t="s">
        <v>456</v>
      </c>
      <c r="F290" s="228" t="str">
        <f>IF(AND(ISNUMBER(Clocal_soil_TIME1_noise),ISNUMBER(Ksoil_water)),Clocal_soil_TIME1_noise*RHOsoil_noisebarrier*0.001/Ksoil_water,"??")</f>
        <v>??</v>
      </c>
      <c r="G290" s="19" t="s">
        <v>810</v>
      </c>
      <c r="H290" s="7" t="s">
        <v>8</v>
      </c>
      <c r="I290" s="146" t="s">
        <v>801</v>
      </c>
    </row>
    <row r="291" spans="1:45" s="8" customFormat="1" ht="5.0999999999999996" customHeight="1" x14ac:dyDescent="0.2">
      <c r="A291" s="10"/>
      <c r="B291" s="290"/>
      <c r="C291" s="290"/>
      <c r="D291" s="290"/>
      <c r="E291" s="30"/>
      <c r="F291" s="292"/>
      <c r="G291" s="19"/>
      <c r="H291" s="7"/>
      <c r="I291" s="146"/>
    </row>
    <row r="292" spans="1:45" s="8" customFormat="1" ht="15" x14ac:dyDescent="0.2">
      <c r="A292" s="10"/>
      <c r="B292" s="362" t="s">
        <v>702</v>
      </c>
      <c r="C292" s="362"/>
      <c r="D292" s="290"/>
      <c r="E292" s="30" t="s">
        <v>457</v>
      </c>
      <c r="F292" s="228" t="str">
        <f>IF(AND(ISNUMBER(Clocal_soil_TIME2_noise),ISNUMBER(Ksoil_water)),Clocal_soil_TIME2_noise*RHOsoil_noisebarrier*0.001/Ksoil_water,"??")</f>
        <v>??</v>
      </c>
      <c r="G292" s="19" t="s">
        <v>810</v>
      </c>
      <c r="H292" s="7" t="s">
        <v>8</v>
      </c>
      <c r="I292" s="146" t="s">
        <v>892</v>
      </c>
    </row>
    <row r="293" spans="1:45" s="8" customFormat="1" ht="5.0999999999999996" customHeight="1" x14ac:dyDescent="0.2">
      <c r="A293" s="10"/>
      <c r="B293" s="235"/>
      <c r="C293" s="235"/>
      <c r="D293" s="235"/>
      <c r="E293" s="30"/>
      <c r="F293" s="236"/>
      <c r="G293" s="19"/>
      <c r="H293" s="7"/>
      <c r="I293" s="146"/>
    </row>
    <row r="294" spans="1:45" s="8" customFormat="1" ht="15" x14ac:dyDescent="0.2">
      <c r="A294" s="10"/>
      <c r="B294" s="362" t="s">
        <v>561</v>
      </c>
      <c r="C294" s="362"/>
      <c r="D294" s="235"/>
      <c r="E294" s="30" t="s">
        <v>692</v>
      </c>
      <c r="F294" s="228" t="str">
        <f>IF(AND(ISNUMBER(Clocal_soil_TIME3_noise),ISNUMBER(Ksoil_water)),Clocal_soil_TIME3_noise*RHOsoil_noisebarrier*0.001/Ksoil_water,"??")</f>
        <v>??</v>
      </c>
      <c r="G294" s="19" t="s">
        <v>810</v>
      </c>
      <c r="H294" s="7" t="s">
        <v>8</v>
      </c>
      <c r="I294" s="146" t="s">
        <v>803</v>
      </c>
    </row>
    <row r="295" spans="1:45" s="8" customFormat="1" x14ac:dyDescent="0.2">
      <c r="A295" s="10"/>
      <c r="B295" s="241"/>
      <c r="C295" s="241"/>
      <c r="D295" s="235"/>
      <c r="E295" s="30"/>
      <c r="F295" s="30"/>
      <c r="G295" s="7"/>
      <c r="H295" s="7"/>
      <c r="I295" s="146"/>
    </row>
    <row r="296" spans="1:45" s="8" customFormat="1" x14ac:dyDescent="0.2">
      <c r="B296" s="86" t="s">
        <v>12</v>
      </c>
      <c r="C296" s="86"/>
      <c r="F296" s="87"/>
      <c r="G296" s="88"/>
      <c r="H296" s="74"/>
      <c r="I296" s="85"/>
    </row>
    <row r="297" spans="1:45" s="73" customFormat="1" collapsed="1" x14ac:dyDescent="0.2">
      <c r="C297" s="115"/>
      <c r="G297" s="94"/>
      <c r="I297" s="94"/>
    </row>
    <row r="298" spans="1:45" s="73" customFormat="1" x14ac:dyDescent="0.2">
      <c r="B298" s="307" t="s">
        <v>818</v>
      </c>
      <c r="C298" s="115"/>
      <c r="G298" s="305"/>
      <c r="I298" s="305"/>
    </row>
    <row r="299" spans="1:45" s="73" customFormat="1" x14ac:dyDescent="0.2">
      <c r="B299" s="307"/>
      <c r="C299" s="115"/>
      <c r="G299" s="349"/>
      <c r="I299" s="349"/>
    </row>
    <row r="300" spans="1:45" s="73" customFormat="1" x14ac:dyDescent="0.2">
      <c r="B300" s="366"/>
      <c r="C300" s="366"/>
      <c r="D300" s="366"/>
      <c r="E300" s="366"/>
      <c r="F300" s="366"/>
      <c r="G300" s="366"/>
      <c r="H300" s="366"/>
      <c r="I300" s="366"/>
    </row>
    <row r="301" spans="1:45" ht="15" x14ac:dyDescent="0.2">
      <c r="A301" s="10"/>
      <c r="B301" s="201" t="s">
        <v>612</v>
      </c>
      <c r="C301" s="80"/>
      <c r="D301" s="81"/>
      <c r="E301" s="81"/>
      <c r="F301" s="10"/>
      <c r="G301" s="10"/>
      <c r="H301" s="10"/>
      <c r="I301" s="10"/>
      <c r="J301" s="10"/>
      <c r="K301" s="10"/>
    </row>
    <row r="302" spans="1:45" ht="15" x14ac:dyDescent="0.2">
      <c r="A302" s="10"/>
      <c r="B302" s="73"/>
      <c r="C302" s="18"/>
      <c r="D302" s="31"/>
      <c r="E302" s="31"/>
      <c r="F302" s="31"/>
      <c r="G302" s="31"/>
      <c r="H302" s="31"/>
      <c r="I302" s="31"/>
      <c r="J302" s="10"/>
      <c r="K302" s="10"/>
      <c r="L302" s="10"/>
      <c r="M302" s="10"/>
    </row>
    <row r="303" spans="1:45" x14ac:dyDescent="0.2">
      <c r="A303" s="10"/>
      <c r="B303" s="82" t="s">
        <v>19</v>
      </c>
      <c r="C303" s="82"/>
      <c r="D303" s="82"/>
      <c r="E303" s="77"/>
      <c r="F303" s="77"/>
      <c r="G303" s="77"/>
      <c r="H303" s="77"/>
      <c r="I303" s="83"/>
      <c r="AS303" s="11"/>
    </row>
    <row r="304" spans="1:45" ht="24.75" customHeight="1" x14ac:dyDescent="0.2">
      <c r="A304" s="10"/>
      <c r="B304" s="366" t="s">
        <v>607</v>
      </c>
      <c r="C304" s="366"/>
      <c r="D304" s="366"/>
      <c r="E304" s="366"/>
      <c r="F304" s="366"/>
      <c r="G304" s="366"/>
      <c r="H304" s="366"/>
      <c r="I304" s="366"/>
      <c r="AS304" s="11"/>
    </row>
    <row r="305" spans="1:45" x14ac:dyDescent="0.2">
      <c r="A305" s="10"/>
      <c r="B305" s="366" t="s">
        <v>717</v>
      </c>
      <c r="C305" s="366"/>
      <c r="D305" s="366"/>
      <c r="E305" s="366"/>
      <c r="F305" s="366"/>
      <c r="G305" s="366"/>
      <c r="H305" s="366"/>
      <c r="I305" s="366"/>
      <c r="AS305" s="11"/>
    </row>
    <row r="306" spans="1:45" ht="14.25" x14ac:dyDescent="0.2">
      <c r="A306" s="10"/>
      <c r="B306" s="383" t="s">
        <v>718</v>
      </c>
      <c r="C306" s="383"/>
      <c r="D306" s="383"/>
      <c r="E306" s="383"/>
      <c r="F306" s="383"/>
      <c r="G306" s="383"/>
      <c r="H306" s="383"/>
      <c r="I306" s="383"/>
      <c r="AS306" s="11"/>
    </row>
    <row r="307" spans="1:45" ht="28.5" customHeight="1" x14ac:dyDescent="0.2">
      <c r="A307" s="10"/>
      <c r="B307" s="366" t="s">
        <v>608</v>
      </c>
      <c r="C307" s="366"/>
      <c r="D307" s="366"/>
      <c r="E307" s="366"/>
      <c r="F307" s="366"/>
      <c r="G307" s="366"/>
      <c r="H307" s="366"/>
      <c r="I307" s="366"/>
      <c r="AS307" s="11"/>
    </row>
    <row r="308" spans="1:45" x14ac:dyDescent="0.2">
      <c r="A308" s="10"/>
      <c r="B308" s="366" t="s">
        <v>583</v>
      </c>
      <c r="C308" s="366"/>
      <c r="D308" s="366"/>
      <c r="E308" s="366"/>
      <c r="F308" s="366"/>
      <c r="G308" s="366"/>
      <c r="H308" s="366"/>
      <c r="I308" s="366"/>
      <c r="J308" s="10"/>
      <c r="K308" s="10"/>
      <c r="L308" s="10"/>
      <c r="M308" s="10"/>
      <c r="N308" s="10"/>
      <c r="O308" s="10"/>
      <c r="P308" s="10"/>
      <c r="Q308" s="10"/>
    </row>
    <row r="309" spans="1:45" s="8" customFormat="1" ht="3" customHeight="1" x14ac:dyDescent="0.2">
      <c r="A309" s="10"/>
      <c r="D309" s="31"/>
      <c r="E309" s="32"/>
      <c r="F309" s="84"/>
      <c r="G309" s="84"/>
      <c r="H309" s="84"/>
      <c r="I309" s="10"/>
      <c r="J309" s="10"/>
      <c r="K309" s="10"/>
      <c r="L309" s="10"/>
    </row>
    <row r="310" spans="1:45" ht="15" x14ac:dyDescent="0.2">
      <c r="A310" s="10"/>
      <c r="B310" s="4" t="s">
        <v>0</v>
      </c>
      <c r="C310" s="4"/>
      <c r="D310" s="4"/>
      <c r="E310" s="12"/>
      <c r="F310" s="12"/>
      <c r="G310" s="12"/>
      <c r="H310" s="12"/>
      <c r="I310" s="13"/>
      <c r="AS310" s="11"/>
    </row>
    <row r="311" spans="1:45" x14ac:dyDescent="0.2">
      <c r="A311" s="10"/>
      <c r="B311" s="6"/>
      <c r="C311" s="6"/>
      <c r="D311" s="6"/>
      <c r="E311" s="6"/>
      <c r="F311" s="6"/>
      <c r="G311" s="6"/>
      <c r="H311" s="6"/>
      <c r="I311" s="22"/>
      <c r="AS311" s="11"/>
    </row>
    <row r="312" spans="1:45" ht="15" x14ac:dyDescent="0.2">
      <c r="A312" s="10"/>
      <c r="B312" s="14" t="s">
        <v>2</v>
      </c>
      <c r="C312" s="14"/>
      <c r="D312" s="14"/>
      <c r="E312" s="15" t="s">
        <v>4</v>
      </c>
      <c r="F312" s="16" t="s">
        <v>7</v>
      </c>
      <c r="G312" s="16" t="s">
        <v>3</v>
      </c>
      <c r="H312" s="16" t="s">
        <v>11</v>
      </c>
      <c r="I312" s="15" t="s">
        <v>34</v>
      </c>
      <c r="AS312" s="11"/>
    </row>
    <row r="313" spans="1:45" x14ac:dyDescent="0.2">
      <c r="A313" s="10"/>
      <c r="B313" s="14"/>
      <c r="C313" s="14"/>
      <c r="D313" s="14"/>
      <c r="E313" s="15"/>
      <c r="F313" s="16"/>
      <c r="G313" s="16"/>
      <c r="H313" s="16"/>
      <c r="I313" s="15"/>
      <c r="AS313" s="11"/>
    </row>
    <row r="314" spans="1:45" ht="39.950000000000003" customHeight="1" x14ac:dyDescent="0.2">
      <c r="A314" s="10"/>
      <c r="B314" s="381" t="s">
        <v>572</v>
      </c>
      <c r="C314" s="381"/>
      <c r="D314" s="381"/>
      <c r="E314" s="381"/>
      <c r="F314" s="381"/>
      <c r="G314" s="381"/>
      <c r="H314" s="381"/>
      <c r="I314" s="381"/>
      <c r="AS314" s="11"/>
    </row>
    <row r="315" spans="1:45" ht="13.5" thickBot="1" x14ac:dyDescent="0.25">
      <c r="A315" s="10"/>
      <c r="B315" s="240"/>
      <c r="C315" s="240"/>
      <c r="D315" s="240"/>
      <c r="E315" s="240"/>
      <c r="F315" s="240"/>
      <c r="G315" s="240"/>
      <c r="H315" s="240"/>
      <c r="I315" s="240"/>
      <c r="AS315" s="11"/>
    </row>
    <row r="316" spans="1:45" ht="17.25" thickTop="1" thickBot="1" x14ac:dyDescent="0.25">
      <c r="A316" s="10"/>
      <c r="B316" s="240" t="s">
        <v>574</v>
      </c>
      <c r="C316" s="313" t="s">
        <v>570</v>
      </c>
      <c r="D316" s="240"/>
      <c r="E316" s="240"/>
      <c r="F316" s="240"/>
      <c r="G316" s="240"/>
      <c r="H316" s="240"/>
      <c r="I316" s="240"/>
      <c r="AS316" s="11"/>
    </row>
    <row r="317" spans="1:45" ht="5.0999999999999996" customHeight="1" thickTop="1" x14ac:dyDescent="0.2">
      <c r="A317" s="10"/>
      <c r="B317" s="240"/>
      <c r="C317" s="240"/>
      <c r="D317" s="240"/>
      <c r="E317" s="240"/>
      <c r="F317" s="240"/>
      <c r="G317" s="240"/>
      <c r="H317" s="240"/>
      <c r="I317" s="240"/>
      <c r="AS317" s="11"/>
    </row>
    <row r="318" spans="1:45" ht="51" x14ac:dyDescent="0.2">
      <c r="A318" s="10"/>
      <c r="B318" s="362" t="s">
        <v>238</v>
      </c>
      <c r="C318" s="362"/>
      <c r="D318" s="240"/>
      <c r="E318" s="30" t="s">
        <v>186</v>
      </c>
      <c r="F318" s="315" t="str">
        <f>IF(C316="Yes",'PT8-prof&amp;amateur in situ treatm'!Clocal_water_brush_bridge,0)</f>
        <v>??</v>
      </c>
      <c r="G318" s="19" t="s">
        <v>810</v>
      </c>
      <c r="H318" s="7" t="s">
        <v>8</v>
      </c>
      <c r="I318" s="240" t="s">
        <v>573</v>
      </c>
      <c r="AS318" s="11"/>
    </row>
    <row r="319" spans="1:45" ht="5.0999999999999996" customHeight="1" x14ac:dyDescent="0.2">
      <c r="A319" s="10"/>
      <c r="B319" s="240"/>
      <c r="C319" s="14"/>
      <c r="D319" s="14"/>
      <c r="E319" s="15"/>
      <c r="F319" s="16"/>
      <c r="G319" s="306"/>
      <c r="H319" s="16"/>
      <c r="I319" s="15"/>
      <c r="AS319" s="11"/>
    </row>
    <row r="320" spans="1:45" ht="15" x14ac:dyDescent="0.2">
      <c r="A320" s="10"/>
      <c r="B320" s="362" t="s">
        <v>192</v>
      </c>
      <c r="C320" s="362"/>
      <c r="D320" s="14"/>
      <c r="E320" s="30" t="s">
        <v>173</v>
      </c>
      <c r="F320" s="272">
        <v>10</v>
      </c>
      <c r="G320" s="19" t="s">
        <v>812</v>
      </c>
      <c r="H320" s="7" t="s">
        <v>13</v>
      </c>
      <c r="I320" s="15"/>
      <c r="AS320" s="11"/>
    </row>
    <row r="321" spans="1:45" ht="5.0999999999999996" customHeight="1" x14ac:dyDescent="0.2">
      <c r="A321" s="10"/>
      <c r="B321" s="125"/>
      <c r="C321" s="14"/>
      <c r="D321" s="14"/>
      <c r="E321" s="15"/>
      <c r="F321" s="275"/>
      <c r="G321" s="19"/>
      <c r="H321" s="7"/>
      <c r="I321" s="15"/>
      <c r="AS321" s="11"/>
    </row>
    <row r="322" spans="1:45" s="8" customFormat="1" x14ac:dyDescent="0.2">
      <c r="B322" s="362" t="s">
        <v>72</v>
      </c>
      <c r="C322" s="362"/>
      <c r="D322" s="34"/>
      <c r="E322" s="125" t="s">
        <v>73</v>
      </c>
      <c r="F322" s="273">
        <v>30</v>
      </c>
      <c r="G322" s="19" t="s">
        <v>10</v>
      </c>
      <c r="H322" s="7" t="s">
        <v>13</v>
      </c>
      <c r="I322" s="34"/>
    </row>
    <row r="323" spans="1:45" s="8" customFormat="1" ht="5.0999999999999996" customHeight="1" x14ac:dyDescent="0.2">
      <c r="B323" s="362"/>
      <c r="C323" s="362"/>
      <c r="D323" s="34"/>
      <c r="E323" s="22"/>
      <c r="F323" s="7"/>
      <c r="G323" s="19"/>
      <c r="H323" s="7"/>
      <c r="I323" s="34"/>
    </row>
    <row r="324" spans="1:45" s="8" customFormat="1" ht="39.950000000000003" customHeight="1" x14ac:dyDescent="0.2">
      <c r="B324" s="362" t="s">
        <v>677</v>
      </c>
      <c r="C324" s="362"/>
      <c r="D324" s="34"/>
      <c r="E324" s="290" t="s">
        <v>75</v>
      </c>
      <c r="F324" s="273">
        <v>365</v>
      </c>
      <c r="G324" s="19" t="s">
        <v>10</v>
      </c>
      <c r="H324" s="7" t="s">
        <v>13</v>
      </c>
      <c r="I324" s="146" t="s">
        <v>966</v>
      </c>
    </row>
    <row r="325" spans="1:45" s="8" customFormat="1" ht="5.0999999999999996" customHeight="1" thickBot="1" x14ac:dyDescent="0.25">
      <c r="B325" s="362"/>
      <c r="C325" s="362"/>
      <c r="D325" s="34"/>
      <c r="E325" s="22"/>
      <c r="F325" s="7"/>
      <c r="G325" s="19"/>
      <c r="H325" s="7"/>
      <c r="I325" s="34"/>
    </row>
    <row r="326" spans="1:45" s="8" customFormat="1" ht="33" customHeight="1" thickTop="1" thickBot="1" x14ac:dyDescent="0.25">
      <c r="B326" s="30" t="s">
        <v>675</v>
      </c>
      <c r="C326" s="313" t="s">
        <v>466</v>
      </c>
      <c r="D326" s="34"/>
      <c r="E326" s="22" t="s">
        <v>676</v>
      </c>
      <c r="F326" s="23" t="str">
        <f>INDEX('Pick-lists &amp; Defaults'!C104:C109,MATCH(C326,application_method_process,0))</f>
        <v>??</v>
      </c>
      <c r="G326" s="19" t="s">
        <v>10</v>
      </c>
      <c r="H326" s="7" t="s">
        <v>20</v>
      </c>
      <c r="I326" s="146" t="s">
        <v>471</v>
      </c>
    </row>
    <row r="327" spans="1:45" s="8" customFormat="1" ht="5.0999999999999996" customHeight="1" thickTop="1" x14ac:dyDescent="0.2">
      <c r="B327" s="125"/>
      <c r="C327" s="125"/>
      <c r="D327" s="125"/>
      <c r="E327" s="30"/>
      <c r="F327" s="7"/>
      <c r="G327" s="19"/>
      <c r="H327" s="7"/>
      <c r="I327" s="7"/>
    </row>
    <row r="328" spans="1:45" s="8" customFormat="1" ht="33" customHeight="1" x14ac:dyDescent="0.2">
      <c r="B328" s="362" t="s">
        <v>193</v>
      </c>
      <c r="C328" s="362"/>
      <c r="D328" s="34"/>
      <c r="E328" s="125" t="s">
        <v>194</v>
      </c>
      <c r="F328" s="274"/>
      <c r="G328" s="19" t="s">
        <v>813</v>
      </c>
      <c r="H328" s="7" t="s">
        <v>6</v>
      </c>
      <c r="I328" s="34"/>
    </row>
    <row r="329" spans="1:45" s="8" customFormat="1" ht="5.0999999999999996" customHeight="1" x14ac:dyDescent="0.2">
      <c r="B329" s="290"/>
      <c r="C329" s="290"/>
      <c r="D329" s="34"/>
      <c r="E329" s="290"/>
      <c r="F329" s="290"/>
      <c r="G329" s="19"/>
      <c r="H329" s="7"/>
      <c r="I329" s="34"/>
    </row>
    <row r="330" spans="1:45" s="8" customFormat="1" ht="39.950000000000003" customHeight="1" x14ac:dyDescent="0.2">
      <c r="B330" s="362" t="s">
        <v>683</v>
      </c>
      <c r="C330" s="362"/>
      <c r="D330" s="34"/>
      <c r="E330" s="290" t="s">
        <v>196</v>
      </c>
      <c r="F330" s="274"/>
      <c r="G330" s="19" t="s">
        <v>813</v>
      </c>
      <c r="H330" s="7" t="s">
        <v>6</v>
      </c>
      <c r="I330" s="107"/>
    </row>
    <row r="331" spans="1:45" s="8" customFormat="1" ht="5.0999999999999996" customHeight="1" x14ac:dyDescent="0.2">
      <c r="B331" s="362"/>
      <c r="C331" s="362"/>
      <c r="D331" s="34"/>
      <c r="E331" s="22"/>
      <c r="F331" s="273"/>
      <c r="G331" s="19"/>
      <c r="H331" s="7"/>
      <c r="I331" s="34"/>
    </row>
    <row r="332" spans="1:45" s="8" customFormat="1" ht="33" customHeight="1" x14ac:dyDescent="0.2">
      <c r="B332" s="362" t="s">
        <v>195</v>
      </c>
      <c r="C332" s="362"/>
      <c r="D332" s="34"/>
      <c r="E332" s="125" t="s">
        <v>684</v>
      </c>
      <c r="F332" s="274"/>
      <c r="G332" s="19" t="s">
        <v>813</v>
      </c>
      <c r="H332" s="7" t="s">
        <v>6</v>
      </c>
      <c r="I332" s="92"/>
    </row>
    <row r="333" spans="1:45" s="8" customFormat="1" ht="5.0999999999999996" customHeight="1" x14ac:dyDescent="0.2">
      <c r="B333" s="125"/>
      <c r="C333" s="125"/>
      <c r="D333" s="34"/>
      <c r="E333" s="22"/>
      <c r="F333" s="273"/>
      <c r="G333" s="19"/>
      <c r="H333" s="7"/>
      <c r="I333" s="34"/>
    </row>
    <row r="334" spans="1:45" s="8" customFormat="1" ht="15" x14ac:dyDescent="0.2">
      <c r="B334" s="125" t="s">
        <v>177</v>
      </c>
      <c r="C334" s="125"/>
      <c r="D334" s="34"/>
      <c r="E334" s="22" t="s">
        <v>178</v>
      </c>
      <c r="F334" s="316">
        <v>1000</v>
      </c>
      <c r="G334" s="19" t="s">
        <v>285</v>
      </c>
      <c r="H334" s="7" t="s">
        <v>13</v>
      </c>
      <c r="I334" s="34"/>
    </row>
    <row r="335" spans="1:45" s="8" customFormat="1" x14ac:dyDescent="0.2">
      <c r="B335" s="185"/>
      <c r="C335" s="185"/>
      <c r="D335" s="34"/>
      <c r="E335" s="22"/>
      <c r="F335" s="7"/>
      <c r="G335" s="19"/>
      <c r="H335" s="7"/>
      <c r="I335" s="34"/>
    </row>
    <row r="336" spans="1:45" s="8" customFormat="1" x14ac:dyDescent="0.2">
      <c r="B336" s="244" t="s">
        <v>606</v>
      </c>
      <c r="C336" s="244"/>
      <c r="D336" s="34"/>
      <c r="E336" s="22"/>
      <c r="F336" s="7"/>
      <c r="G336" s="19"/>
      <c r="H336" s="7"/>
      <c r="I336" s="34"/>
    </row>
    <row r="337" spans="2:9" s="8" customFormat="1" x14ac:dyDescent="0.2">
      <c r="B337" s="185"/>
      <c r="C337" s="185"/>
      <c r="D337" s="34"/>
      <c r="E337" s="22"/>
      <c r="F337" s="7"/>
      <c r="G337" s="19"/>
      <c r="H337" s="7"/>
      <c r="I337" s="34"/>
    </row>
    <row r="338" spans="2:9" s="8" customFormat="1" ht="15" x14ac:dyDescent="0.2">
      <c r="B338" s="362" t="s">
        <v>478</v>
      </c>
      <c r="C338" s="362"/>
      <c r="D338" s="34"/>
      <c r="E338" s="22" t="s">
        <v>653</v>
      </c>
      <c r="F338" s="326"/>
      <c r="G338" s="19" t="s">
        <v>443</v>
      </c>
      <c r="H338" s="7" t="s">
        <v>6</v>
      </c>
      <c r="I338" s="34"/>
    </row>
    <row r="339" spans="2:9" s="8" customFormat="1" ht="5.0999999999999996" customHeight="1" x14ac:dyDescent="0.2">
      <c r="B339" s="185"/>
      <c r="C339" s="185"/>
      <c r="D339" s="34"/>
      <c r="E339" s="22"/>
      <c r="F339" s="273"/>
      <c r="G339" s="19"/>
      <c r="H339" s="7"/>
      <c r="I339" s="34"/>
    </row>
    <row r="340" spans="2:9" s="8" customFormat="1" ht="15" x14ac:dyDescent="0.2">
      <c r="B340" s="362" t="s">
        <v>804</v>
      </c>
      <c r="C340" s="362"/>
      <c r="D340" s="34"/>
      <c r="E340" s="22" t="s">
        <v>481</v>
      </c>
      <c r="F340" s="273">
        <v>3</v>
      </c>
      <c r="G340" s="19" t="s">
        <v>285</v>
      </c>
      <c r="H340" s="7" t="s">
        <v>13</v>
      </c>
      <c r="I340" s="146" t="s">
        <v>888</v>
      </c>
    </row>
    <row r="341" spans="2:9" s="8" customFormat="1" ht="5.0999999999999996" customHeight="1" x14ac:dyDescent="0.2">
      <c r="B341" s="185"/>
      <c r="C341" s="185"/>
      <c r="D341" s="34"/>
      <c r="E341" s="22"/>
      <c r="F341" s="273"/>
      <c r="G341" s="19"/>
      <c r="H341" s="7"/>
      <c r="I341" s="34"/>
    </row>
    <row r="342" spans="2:9" s="8" customFormat="1" ht="15" x14ac:dyDescent="0.2">
      <c r="B342" s="362" t="s">
        <v>488</v>
      </c>
      <c r="C342" s="362"/>
      <c r="D342" s="34"/>
      <c r="E342" s="22" t="s">
        <v>482</v>
      </c>
      <c r="F342" s="274"/>
      <c r="G342" s="19" t="s">
        <v>483</v>
      </c>
      <c r="H342" s="7" t="s">
        <v>6</v>
      </c>
      <c r="I342" s="34"/>
    </row>
    <row r="343" spans="2:9" s="8" customFormat="1" ht="5.0999999999999996" customHeight="1" x14ac:dyDescent="0.2">
      <c r="B343" s="185"/>
      <c r="C343" s="185"/>
      <c r="D343" s="34"/>
      <c r="E343" s="22"/>
      <c r="F343" s="273"/>
      <c r="G343" s="19"/>
      <c r="H343" s="7"/>
      <c r="I343" s="34"/>
    </row>
    <row r="344" spans="2:9" s="8" customFormat="1" ht="15" x14ac:dyDescent="0.2">
      <c r="B344" s="362" t="s">
        <v>484</v>
      </c>
      <c r="C344" s="362"/>
      <c r="D344" s="34"/>
      <c r="E344" s="22" t="s">
        <v>487</v>
      </c>
      <c r="F344" s="273">
        <v>1.4999999999999999E-2</v>
      </c>
      <c r="G344" s="19" t="s">
        <v>32</v>
      </c>
      <c r="H344" s="7" t="s">
        <v>13</v>
      </c>
      <c r="I344" s="34"/>
    </row>
    <row r="345" spans="2:9" s="8" customFormat="1" ht="5.0999999999999996" customHeight="1" x14ac:dyDescent="0.2">
      <c r="B345" s="185"/>
      <c r="C345" s="185"/>
      <c r="D345" s="34"/>
      <c r="E345" s="22"/>
      <c r="F345" s="273"/>
      <c r="G345" s="19"/>
      <c r="H345" s="7"/>
      <c r="I345" s="34"/>
    </row>
    <row r="346" spans="2:9" s="8" customFormat="1" ht="24.95" customHeight="1" x14ac:dyDescent="0.2">
      <c r="B346" s="362" t="s">
        <v>485</v>
      </c>
      <c r="C346" s="362"/>
      <c r="D346" s="34"/>
      <c r="E346" s="22" t="s">
        <v>486</v>
      </c>
      <c r="F346" s="274"/>
      <c r="G346" s="19" t="s">
        <v>742</v>
      </c>
      <c r="H346" s="7" t="s">
        <v>6</v>
      </c>
      <c r="I346" s="107" t="s">
        <v>595</v>
      </c>
    </row>
    <row r="347" spans="2:9" s="8" customFormat="1" ht="13.5" thickBot="1" x14ac:dyDescent="0.25">
      <c r="B347" s="246"/>
      <c r="C347" s="246"/>
      <c r="D347" s="34"/>
      <c r="E347" s="22"/>
      <c r="F347" s="22"/>
      <c r="G347" s="19"/>
      <c r="H347" s="7"/>
      <c r="I347" s="251"/>
    </row>
    <row r="348" spans="2:9" s="8" customFormat="1" x14ac:dyDescent="0.2">
      <c r="B348" s="211"/>
      <c r="C348" s="212"/>
      <c r="D348" s="252"/>
      <c r="E348" s="214"/>
      <c r="F348" s="214"/>
      <c r="G348" s="253"/>
      <c r="H348" s="215"/>
      <c r="I348" s="254"/>
    </row>
    <row r="349" spans="2:9" s="8" customFormat="1" x14ac:dyDescent="0.2">
      <c r="B349" s="226" t="s">
        <v>588</v>
      </c>
      <c r="C349" s="246"/>
      <c r="D349" s="6"/>
      <c r="E349" s="22"/>
      <c r="F349" s="22"/>
      <c r="G349" s="19"/>
      <c r="H349" s="7"/>
      <c r="I349" s="255"/>
    </row>
    <row r="350" spans="2:9" s="8" customFormat="1" x14ac:dyDescent="0.2">
      <c r="B350" s="225"/>
      <c r="C350" s="246"/>
      <c r="D350" s="6"/>
      <c r="E350" s="22"/>
      <c r="F350" s="22"/>
      <c r="G350" s="19"/>
      <c r="H350" s="7"/>
      <c r="I350" s="255"/>
    </row>
    <row r="351" spans="2:9" s="8" customFormat="1" ht="15" x14ac:dyDescent="0.2">
      <c r="B351" s="239" t="s">
        <v>589</v>
      </c>
      <c r="C351" s="246"/>
      <c r="D351" s="6"/>
      <c r="E351" s="22" t="s">
        <v>594</v>
      </c>
      <c r="F351" s="274"/>
      <c r="G351" s="19" t="s">
        <v>742</v>
      </c>
      <c r="H351" s="7" t="s">
        <v>6</v>
      </c>
      <c r="I351" s="255"/>
    </row>
    <row r="352" spans="2:9" s="8" customFormat="1" ht="5.0999999999999996" customHeight="1" x14ac:dyDescent="0.2">
      <c r="B352" s="239"/>
      <c r="C352" s="246"/>
      <c r="D352" s="6"/>
      <c r="E352" s="22"/>
      <c r="F352" s="276"/>
      <c r="G352" s="19"/>
      <c r="H352" s="7"/>
      <c r="I352" s="255"/>
    </row>
    <row r="353" spans="1:9" s="8" customFormat="1" ht="25.5" x14ac:dyDescent="0.2">
      <c r="B353" s="239" t="s">
        <v>590</v>
      </c>
      <c r="C353" s="246"/>
      <c r="D353" s="6"/>
      <c r="E353" s="22" t="s">
        <v>593</v>
      </c>
      <c r="F353" s="273">
        <v>0.1</v>
      </c>
      <c r="G353" s="19" t="s">
        <v>592</v>
      </c>
      <c r="H353" s="7" t="s">
        <v>13</v>
      </c>
      <c r="I353" s="259" t="s">
        <v>591</v>
      </c>
    </row>
    <row r="354" spans="1:9" s="8" customFormat="1" ht="5.0999999999999996" customHeight="1" x14ac:dyDescent="0.2">
      <c r="B354" s="239"/>
      <c r="C354" s="246"/>
      <c r="D354" s="6"/>
      <c r="E354" s="22"/>
      <c r="F354" s="7"/>
      <c r="G354" s="19"/>
      <c r="H354" s="7"/>
      <c r="I354" s="259"/>
    </row>
    <row r="355" spans="1:9" s="8" customFormat="1" ht="15" x14ac:dyDescent="0.2">
      <c r="B355" s="384" t="s">
        <v>485</v>
      </c>
      <c r="C355" s="362"/>
      <c r="D355" s="6"/>
      <c r="E355" s="22" t="s">
        <v>486</v>
      </c>
      <c r="F355" s="260" t="str">
        <f>IF(ISNUMBER(Koc),Koc*Foc_susp,"??")</f>
        <v>??</v>
      </c>
      <c r="G355" s="19" t="s">
        <v>742</v>
      </c>
      <c r="H355" s="7" t="s">
        <v>8</v>
      </c>
      <c r="I355" s="259" t="s">
        <v>896</v>
      </c>
    </row>
    <row r="356" spans="1:9" s="8" customFormat="1" ht="13.5" thickBot="1" x14ac:dyDescent="0.25">
      <c r="B356" s="219"/>
      <c r="C356" s="220"/>
      <c r="D356" s="256"/>
      <c r="E356" s="222"/>
      <c r="F356" s="222"/>
      <c r="G356" s="257"/>
      <c r="H356" s="223"/>
      <c r="I356" s="258"/>
    </row>
    <row r="357" spans="1:9" s="8" customFormat="1" x14ac:dyDescent="0.2">
      <c r="B357" s="125"/>
      <c r="C357" s="125"/>
      <c r="D357" s="34"/>
      <c r="E357" s="22"/>
      <c r="F357" s="7"/>
      <c r="G357" s="19"/>
      <c r="H357" s="7"/>
      <c r="I357" s="34"/>
    </row>
    <row r="358" spans="1:9" ht="15" x14ac:dyDescent="0.2">
      <c r="A358" s="10"/>
      <c r="B358" s="4" t="s">
        <v>1</v>
      </c>
      <c r="C358" s="4"/>
      <c r="D358" s="4"/>
      <c r="E358" s="4"/>
      <c r="F358" s="12"/>
      <c r="G358" s="12"/>
      <c r="H358" s="12"/>
      <c r="I358" s="12"/>
    </row>
    <row r="359" spans="1:9" x14ac:dyDescent="0.2">
      <c r="A359" s="10"/>
      <c r="B359" s="6"/>
      <c r="C359" s="6"/>
      <c r="D359" s="6"/>
      <c r="E359" s="6"/>
      <c r="F359" s="6"/>
      <c r="G359" s="6"/>
      <c r="H359" s="6"/>
      <c r="I359" s="6"/>
    </row>
    <row r="360" spans="1:9" ht="15" x14ac:dyDescent="0.2">
      <c r="A360" s="10"/>
      <c r="B360" s="14" t="s">
        <v>2</v>
      </c>
      <c r="C360" s="14"/>
      <c r="D360" s="14"/>
      <c r="E360" s="15" t="s">
        <v>4</v>
      </c>
      <c r="F360" s="16" t="s">
        <v>7</v>
      </c>
      <c r="G360" s="16" t="s">
        <v>3</v>
      </c>
      <c r="H360" s="16" t="s">
        <v>11</v>
      </c>
      <c r="I360" s="15" t="s">
        <v>34</v>
      </c>
    </row>
    <row r="361" spans="1:9" x14ac:dyDescent="0.2">
      <c r="A361" s="10"/>
      <c r="B361" s="14"/>
      <c r="C361" s="14"/>
      <c r="D361" s="14"/>
      <c r="E361" s="15"/>
      <c r="F361" s="16"/>
      <c r="G361" s="16"/>
      <c r="H361" s="16"/>
      <c r="I361" s="15"/>
    </row>
    <row r="362" spans="1:9" s="8" customFormat="1" ht="15" x14ac:dyDescent="0.2">
      <c r="A362" s="10"/>
      <c r="B362" s="362" t="s">
        <v>198</v>
      </c>
      <c r="C362" s="362"/>
      <c r="D362" s="30"/>
      <c r="E362" s="30" t="s">
        <v>202</v>
      </c>
      <c r="F362" s="228" t="str">
        <f>IF(ISNUMBER(Q_leach_TIME1_bridge),AREAbridge*Q_leach_TIME1_bridge,"??")</f>
        <v>??</v>
      </c>
      <c r="G362" s="19" t="s">
        <v>794</v>
      </c>
      <c r="H362" s="7" t="s">
        <v>8</v>
      </c>
      <c r="I362" s="126" t="s">
        <v>231</v>
      </c>
    </row>
    <row r="363" spans="1:9" s="8" customFormat="1" ht="5.0999999999999996" customHeight="1" x14ac:dyDescent="0.2">
      <c r="A363" s="10"/>
      <c r="B363" s="290"/>
      <c r="C363" s="290"/>
      <c r="D363" s="290"/>
      <c r="E363" s="30"/>
      <c r="F363" s="30"/>
      <c r="G363" s="19"/>
      <c r="H363" s="7"/>
      <c r="I363" s="20"/>
    </row>
    <row r="364" spans="1:9" s="8" customFormat="1" ht="24.95" customHeight="1" x14ac:dyDescent="0.2">
      <c r="A364" s="10"/>
      <c r="B364" s="362" t="s">
        <v>703</v>
      </c>
      <c r="C364" s="362"/>
      <c r="D364" s="30"/>
      <c r="E364" s="30" t="s">
        <v>203</v>
      </c>
      <c r="F364" s="228" t="str">
        <f>IF(ISNUMBER(Q_leach_TIME2_bridge),AREAbridge*Q_leach_TIME2_bridge,"??")</f>
        <v>??</v>
      </c>
      <c r="G364" s="19" t="s">
        <v>794</v>
      </c>
      <c r="H364" s="7" t="s">
        <v>8</v>
      </c>
      <c r="I364" s="126" t="s">
        <v>232</v>
      </c>
    </row>
    <row r="365" spans="1:9" s="8" customFormat="1" ht="5.0999999999999996" customHeight="1" x14ac:dyDescent="0.2">
      <c r="A365" s="10"/>
      <c r="B365" s="152"/>
      <c r="C365" s="152"/>
      <c r="D365" s="152"/>
      <c r="E365" s="30"/>
      <c r="F365" s="30"/>
      <c r="G365" s="19"/>
      <c r="H365" s="7"/>
      <c r="I365" s="20"/>
    </row>
    <row r="366" spans="1:9" s="8" customFormat="1" ht="15" x14ac:dyDescent="0.2">
      <c r="A366" s="10"/>
      <c r="B366" s="362" t="s">
        <v>199</v>
      </c>
      <c r="C366" s="362"/>
      <c r="D366" s="30"/>
      <c r="E366" s="30" t="s">
        <v>678</v>
      </c>
      <c r="F366" s="228" t="str">
        <f>IF(ISNUMBER(Q_leach_TIME3_bridge),AREAbridge*Q_leach_TIME3_bridge,"??")</f>
        <v>??</v>
      </c>
      <c r="G366" s="19" t="s">
        <v>794</v>
      </c>
      <c r="H366" s="7" t="s">
        <v>8</v>
      </c>
      <c r="I366" s="126" t="s">
        <v>706</v>
      </c>
    </row>
    <row r="367" spans="1:9" x14ac:dyDescent="0.2">
      <c r="A367" s="10"/>
      <c r="B367" s="14"/>
      <c r="C367" s="14"/>
      <c r="D367" s="14"/>
      <c r="E367" s="15"/>
      <c r="F367" s="16"/>
      <c r="G367" s="16"/>
      <c r="H367" s="16"/>
      <c r="I367" s="15"/>
    </row>
    <row r="368" spans="1:9" s="8" customFormat="1" ht="15.75" x14ac:dyDescent="0.2">
      <c r="A368" s="10"/>
      <c r="B368" s="363" t="s">
        <v>479</v>
      </c>
      <c r="C368" s="363"/>
      <c r="D368" s="167"/>
      <c r="E368" s="167" t="s">
        <v>502</v>
      </c>
      <c r="F368" s="228" t="str">
        <f>IF(ISNUMBER(Q_leach_TIME1_bridge),AREAbridge*Q_leach_TIME1_bridge/TIME1_bridge,"??")</f>
        <v>??</v>
      </c>
      <c r="G368" s="19" t="s">
        <v>814</v>
      </c>
      <c r="H368" s="19" t="s">
        <v>8</v>
      </c>
      <c r="I368" s="146" t="s">
        <v>506</v>
      </c>
    </row>
    <row r="369" spans="1:10" s="8" customFormat="1" ht="5.0999999999999996" customHeight="1" x14ac:dyDescent="0.2">
      <c r="A369" s="10"/>
      <c r="B369" s="293"/>
      <c r="C369" s="293"/>
      <c r="D369" s="293"/>
      <c r="E369" s="167"/>
      <c r="F369" s="198"/>
      <c r="G369" s="19"/>
      <c r="H369" s="19"/>
      <c r="I369" s="146"/>
    </row>
    <row r="370" spans="1:10" s="8" customFormat="1" ht="15.75" x14ac:dyDescent="0.2">
      <c r="A370" s="10"/>
      <c r="B370" s="363" t="s">
        <v>712</v>
      </c>
      <c r="C370" s="363"/>
      <c r="D370" s="293"/>
      <c r="E370" s="167" t="s">
        <v>503</v>
      </c>
      <c r="F370" s="228" t="str">
        <f>IF(ISNUMBER(Q_leach_TIME2_bridge),AREAbridge*Q_leach_TIME2_bridge/TIME2_bridge,"??")</f>
        <v>??</v>
      </c>
      <c r="G370" s="19" t="s">
        <v>814</v>
      </c>
      <c r="H370" s="19" t="s">
        <v>8</v>
      </c>
      <c r="I370" s="146" t="s">
        <v>507</v>
      </c>
    </row>
    <row r="371" spans="1:10" s="8" customFormat="1" ht="5.0999999999999996" customHeight="1" x14ac:dyDescent="0.2">
      <c r="A371" s="10"/>
      <c r="B371" s="187"/>
      <c r="C371" s="187"/>
      <c r="D371" s="187"/>
      <c r="E371" s="167"/>
      <c r="F371" s="198"/>
      <c r="G371" s="19"/>
      <c r="H371" s="19"/>
      <c r="I371" s="146"/>
    </row>
    <row r="372" spans="1:10" s="8" customFormat="1" ht="15.75" x14ac:dyDescent="0.2">
      <c r="A372" s="10"/>
      <c r="B372" s="363" t="s">
        <v>480</v>
      </c>
      <c r="C372" s="363"/>
      <c r="D372" s="187"/>
      <c r="E372" s="167" t="s">
        <v>713</v>
      </c>
      <c r="F372" s="228" t="str">
        <f>IF(AND(ISNUMBER(Q_leach_TIME3_bridge),ISNUMBER(TIME3_bridge)),AREAbridge*Q_leach_TIME3_bridge/TIME3_bridge,"??")</f>
        <v>??</v>
      </c>
      <c r="G372" s="19" t="s">
        <v>814</v>
      </c>
      <c r="H372" s="19" t="s">
        <v>8</v>
      </c>
      <c r="I372" s="146" t="s">
        <v>714</v>
      </c>
    </row>
    <row r="373" spans="1:10" s="8" customFormat="1" x14ac:dyDescent="0.2">
      <c r="A373" s="10"/>
      <c r="B373" s="200"/>
      <c r="C373" s="200"/>
      <c r="D373" s="200"/>
      <c r="E373" s="200"/>
      <c r="F373" s="198"/>
      <c r="G373" s="19"/>
      <c r="H373" s="197"/>
      <c r="I373" s="199"/>
    </row>
    <row r="374" spans="1:10" ht="15" x14ac:dyDescent="0.2">
      <c r="A374" s="10"/>
      <c r="B374" s="382" t="s">
        <v>596</v>
      </c>
      <c r="C374" s="382"/>
      <c r="D374" s="382"/>
      <c r="E374" s="382"/>
      <c r="F374" s="382"/>
      <c r="G374" s="382"/>
      <c r="H374" s="382"/>
      <c r="I374" s="382"/>
    </row>
    <row r="375" spans="1:10" x14ac:dyDescent="0.2">
      <c r="A375" s="10"/>
      <c r="B375" s="14"/>
      <c r="C375" s="14"/>
      <c r="D375" s="14"/>
      <c r="E375" s="15"/>
      <c r="F375" s="16"/>
      <c r="G375" s="16"/>
      <c r="H375" s="16"/>
      <c r="I375" s="15"/>
    </row>
    <row r="376" spans="1:10" s="8" customFormat="1" ht="15" x14ac:dyDescent="0.2">
      <c r="A376" s="10"/>
      <c r="B376" s="363" t="s">
        <v>240</v>
      </c>
      <c r="C376" s="363"/>
      <c r="D376" s="167"/>
      <c r="E376" s="30" t="s">
        <v>229</v>
      </c>
      <c r="F376" s="228" t="str">
        <f>IF(ISNUMBER(QleachTIME1_bridge),QleachTIME1_bridge*0.001/Vwater_bridge,"??")</f>
        <v>??</v>
      </c>
      <c r="G376" s="19" t="s">
        <v>810</v>
      </c>
      <c r="H376" s="7" t="s">
        <v>8</v>
      </c>
      <c r="I376" s="41" t="s">
        <v>825</v>
      </c>
    </row>
    <row r="377" spans="1:10" s="8" customFormat="1" ht="5.0999999999999996" customHeight="1" x14ac:dyDescent="0.2">
      <c r="A377" s="10"/>
      <c r="B377" s="293"/>
      <c r="C377" s="293"/>
      <c r="D377" s="293"/>
      <c r="E377" s="30"/>
      <c r="F377" s="30"/>
      <c r="G377" s="19"/>
      <c r="H377" s="7"/>
      <c r="I377" s="41"/>
    </row>
    <row r="378" spans="1:10" s="8" customFormat="1" ht="15" x14ac:dyDescent="0.2">
      <c r="A378" s="10"/>
      <c r="B378" s="363" t="s">
        <v>707</v>
      </c>
      <c r="C378" s="363"/>
      <c r="D378" s="167"/>
      <c r="E378" s="30" t="s">
        <v>230</v>
      </c>
      <c r="F378" s="228" t="str">
        <f>IF(ISNUMBER(QleachTIME2_bridge),QleachTIME2_bridge*0.001/Vwater_bridge,"??")</f>
        <v>??</v>
      </c>
      <c r="G378" s="19" t="s">
        <v>810</v>
      </c>
      <c r="H378" s="7" t="s">
        <v>8</v>
      </c>
      <c r="I378" s="41" t="s">
        <v>894</v>
      </c>
    </row>
    <row r="379" spans="1:10" s="8" customFormat="1" ht="5.0999999999999996" customHeight="1" x14ac:dyDescent="0.2">
      <c r="A379" s="10"/>
      <c r="B379" s="153"/>
      <c r="C379" s="153"/>
      <c r="D379" s="153"/>
      <c r="E379" s="30"/>
      <c r="F379" s="30"/>
      <c r="G379" s="19"/>
      <c r="H379" s="7"/>
      <c r="I379" s="41"/>
    </row>
    <row r="380" spans="1:10" s="8" customFormat="1" ht="15" x14ac:dyDescent="0.2">
      <c r="A380" s="10"/>
      <c r="B380" s="363" t="s">
        <v>241</v>
      </c>
      <c r="C380" s="363"/>
      <c r="D380" s="167"/>
      <c r="E380" s="30" t="s">
        <v>708</v>
      </c>
      <c r="F380" s="228" t="str">
        <f>IF(ISNUMBER(QleachTIME3_bridge),QleachTIME3_bridge*0.001/Vwater_bridge,"??")</f>
        <v>??</v>
      </c>
      <c r="G380" s="19" t="s">
        <v>810</v>
      </c>
      <c r="H380" s="7" t="s">
        <v>8</v>
      </c>
      <c r="I380" s="41" t="s">
        <v>895</v>
      </c>
    </row>
    <row r="381" spans="1:10" s="8" customFormat="1" x14ac:dyDescent="0.2">
      <c r="A381" s="10"/>
      <c r="B381" s="246"/>
      <c r="C381" s="246"/>
      <c r="D381" s="30"/>
      <c r="E381" s="30"/>
      <c r="F381" s="16"/>
      <c r="G381" s="19"/>
      <c r="H381" s="7"/>
      <c r="I381" s="41"/>
    </row>
    <row r="382" spans="1:10" s="8" customFormat="1" ht="29.25" customHeight="1" x14ac:dyDescent="0.2">
      <c r="A382" s="10"/>
      <c r="B382" s="381" t="s">
        <v>602</v>
      </c>
      <c r="C382" s="381"/>
      <c r="D382" s="381"/>
      <c r="E382" s="381"/>
      <c r="F382" s="381"/>
      <c r="G382" s="381"/>
      <c r="H382" s="381"/>
      <c r="I382" s="381"/>
    </row>
    <row r="383" spans="1:10" s="8" customFormat="1" x14ac:dyDescent="0.2">
      <c r="A383" s="10"/>
      <c r="B383" s="246"/>
      <c r="C383" s="246"/>
      <c r="D383" s="30"/>
      <c r="E383" s="30"/>
      <c r="F383" s="16"/>
      <c r="G383" s="7"/>
      <c r="H383" s="7"/>
      <c r="I383" s="20"/>
    </row>
    <row r="384" spans="1:10" s="8" customFormat="1" ht="28.5" x14ac:dyDescent="0.2">
      <c r="A384" s="10"/>
      <c r="B384" s="362" t="s">
        <v>598</v>
      </c>
      <c r="C384" s="362"/>
      <c r="D384" s="30"/>
      <c r="E384" s="30" t="s">
        <v>600</v>
      </c>
      <c r="F384" s="228" t="str">
        <f>IF(Clocal_water_brush_bridge=0,Clocal_water_leach_TIME1_bridge, IF(AND(ISNUMBER(Clocal_water_brush_bridge),ISNUMBER(Q_leach_TIME1_bridge)),Clocal_water_brush_bridge+Clocal_water_leach_TIME1_bridge,"??"))</f>
        <v>??</v>
      </c>
      <c r="G384" s="19" t="s">
        <v>810</v>
      </c>
      <c r="H384" s="7" t="s">
        <v>8</v>
      </c>
      <c r="I384" s="141" t="s">
        <v>603</v>
      </c>
      <c r="J384" s="192"/>
    </row>
    <row r="385" spans="1:66" s="8" customFormat="1" ht="5.0999999999999996" customHeight="1" x14ac:dyDescent="0.2">
      <c r="A385" s="10"/>
      <c r="B385" s="290"/>
      <c r="C385" s="290"/>
      <c r="D385" s="30"/>
      <c r="E385" s="30"/>
      <c r="F385" s="16"/>
      <c r="G385" s="19"/>
      <c r="H385" s="7"/>
      <c r="I385" s="20"/>
      <c r="J385" s="170"/>
    </row>
    <row r="386" spans="1:66" s="8" customFormat="1" ht="24.95" customHeight="1" x14ac:dyDescent="0.2">
      <c r="A386" s="10"/>
      <c r="B386" s="362" t="s">
        <v>709</v>
      </c>
      <c r="C386" s="362"/>
      <c r="D386" s="30"/>
      <c r="E386" s="30" t="s">
        <v>601</v>
      </c>
      <c r="F386" s="228" t="str">
        <f>IF(Clocal_water_brush_bridge=0,Clocal_water_leach_TIME2_bridge, IF(AND(ISNUMBER(Clocal_water_brush_bridge),ISNUMBER(Q_leach_TIME2_bridge)),Clocal_water_brush_bridge+Clocal_water_leach_TIME2_bridge,"??"))</f>
        <v>??</v>
      </c>
      <c r="G386" s="19" t="s">
        <v>810</v>
      </c>
      <c r="H386" s="7" t="s">
        <v>8</v>
      </c>
      <c r="I386" s="141" t="s">
        <v>604</v>
      </c>
      <c r="J386" s="192"/>
    </row>
    <row r="387" spans="1:66" s="8" customFormat="1" ht="5.0999999999999996" customHeight="1" x14ac:dyDescent="0.2">
      <c r="A387" s="10"/>
      <c r="B387" s="246"/>
      <c r="C387" s="246"/>
      <c r="D387" s="30"/>
      <c r="E387" s="30"/>
      <c r="F387" s="16"/>
      <c r="G387" s="19"/>
      <c r="H387" s="7"/>
      <c r="I387" s="20"/>
      <c r="J387" s="170"/>
    </row>
    <row r="388" spans="1:66" s="8" customFormat="1" ht="28.5" x14ac:dyDescent="0.2">
      <c r="A388" s="10"/>
      <c r="B388" s="362" t="s">
        <v>599</v>
      </c>
      <c r="C388" s="362"/>
      <c r="D388" s="30"/>
      <c r="E388" s="30" t="s">
        <v>710</v>
      </c>
      <c r="F388" s="228" t="str">
        <f>IF(Clocal_water_brush_bridge=0,Clocal_water_leach_TIME3_bridge, IF(AND(ISNUMBER(Clocal_water_brush_bridge),ISNUMBER(Q_leach_TIME3_bridge)),Clocal_water_brush_bridge+Clocal_water_leach_TIME3_bridge,"??"))</f>
        <v>??</v>
      </c>
      <c r="G388" s="19" t="s">
        <v>810</v>
      </c>
      <c r="H388" s="7" t="s">
        <v>8</v>
      </c>
      <c r="I388" s="141" t="s">
        <v>711</v>
      </c>
      <c r="J388" s="192"/>
    </row>
    <row r="389" spans="1:66" s="8" customFormat="1" x14ac:dyDescent="0.2">
      <c r="A389" s="10"/>
      <c r="B389" s="246"/>
      <c r="C389" s="246"/>
      <c r="D389" s="30"/>
      <c r="E389" s="30"/>
      <c r="F389" s="16"/>
      <c r="G389" s="7"/>
      <c r="H389" s="7"/>
      <c r="I389" s="20"/>
      <c r="J389" s="170"/>
    </row>
    <row r="390" spans="1:66" s="8" customFormat="1" ht="15" x14ac:dyDescent="0.2">
      <c r="A390" s="10"/>
      <c r="B390" s="382" t="s">
        <v>605</v>
      </c>
      <c r="C390" s="382"/>
      <c r="D390" s="382"/>
      <c r="E390" s="382"/>
      <c r="F390" s="382"/>
      <c r="G390" s="382"/>
      <c r="H390" s="382"/>
      <c r="I390" s="382"/>
      <c r="J390" s="192"/>
      <c r="AT390" s="10"/>
      <c r="AU390" s="10"/>
      <c r="AV390" s="10"/>
      <c r="AW390" s="10"/>
      <c r="AX390" s="10"/>
      <c r="AY390" s="10"/>
      <c r="AZ390" s="10"/>
      <c r="BA390" s="10"/>
      <c r="BB390" s="10"/>
      <c r="BC390" s="10"/>
      <c r="BD390" s="10"/>
      <c r="BE390" s="10"/>
      <c r="BF390" s="10"/>
      <c r="BG390" s="10"/>
      <c r="BH390" s="10"/>
      <c r="BI390" s="10"/>
      <c r="BJ390" s="10"/>
      <c r="BK390" s="10"/>
      <c r="BL390" s="10"/>
      <c r="BM390" s="10"/>
      <c r="BN390" s="10"/>
    </row>
    <row r="391" spans="1:66" s="8" customFormat="1" x14ac:dyDescent="0.2">
      <c r="A391" s="10"/>
      <c r="B391" s="190"/>
      <c r="C391" s="190"/>
      <c r="D391" s="190"/>
      <c r="E391" s="190"/>
      <c r="F391" s="190"/>
      <c r="G391" s="7"/>
      <c r="H391" s="7"/>
      <c r="I391" s="20"/>
    </row>
    <row r="392" spans="1:66" s="8" customFormat="1" ht="29.25" x14ac:dyDescent="0.2">
      <c r="A392" s="10"/>
      <c r="B392" s="363" t="s">
        <v>904</v>
      </c>
      <c r="C392" s="363"/>
      <c r="D392" s="187"/>
      <c r="E392" s="167" t="s">
        <v>504</v>
      </c>
      <c r="F392" s="228" t="str">
        <f>IF(AND(ISNUMBER(Ewater_leach_TIME1),ISNUMBER(k_water)),(Ewater_leach_TIME1/(Vwater_bridge*k_water*1000))*(1-(1-EXP(-TIME1_bridge*k_water))/(k_water*TIME1_bridge)),"??")</f>
        <v>??</v>
      </c>
      <c r="G392" s="19" t="s">
        <v>810</v>
      </c>
      <c r="H392" s="19" t="s">
        <v>8</v>
      </c>
      <c r="I392" s="146" t="s">
        <v>815</v>
      </c>
    </row>
    <row r="393" spans="1:66" s="8" customFormat="1" ht="5.0999999999999996" customHeight="1" x14ac:dyDescent="0.2">
      <c r="A393" s="10"/>
      <c r="B393" s="293"/>
      <c r="C393" s="293"/>
      <c r="D393" s="293"/>
      <c r="E393" s="167"/>
      <c r="F393" s="198"/>
      <c r="G393" s="19"/>
      <c r="H393" s="19"/>
      <c r="I393" s="146"/>
    </row>
    <row r="394" spans="1:66" s="8" customFormat="1" ht="29.25" x14ac:dyDescent="0.2">
      <c r="A394" s="10"/>
      <c r="B394" s="363" t="s">
        <v>715</v>
      </c>
      <c r="C394" s="363"/>
      <c r="D394" s="293"/>
      <c r="E394" s="167" t="s">
        <v>505</v>
      </c>
      <c r="F394" s="228" t="str">
        <f>IF(AND(ISNUMBER(Ewater_leach_TIME2),ISNUMBER(k_water)),(Ewater_leach_TIME2/(Vwater_bridge*k_water*1000))*(1-(1-EXP(-TIME2_bridge*k_water))/(k_water*TIME2_bridge)),"??")</f>
        <v>??</v>
      </c>
      <c r="G394" s="19" t="s">
        <v>810</v>
      </c>
      <c r="H394" s="19" t="s">
        <v>8</v>
      </c>
      <c r="I394" s="146" t="s">
        <v>816</v>
      </c>
    </row>
    <row r="395" spans="1:66" s="8" customFormat="1" ht="5.0999999999999996" customHeight="1" x14ac:dyDescent="0.2">
      <c r="A395" s="10"/>
      <c r="B395" s="187"/>
      <c r="C395" s="187"/>
      <c r="D395" s="187"/>
      <c r="E395" s="167"/>
      <c r="F395" s="198"/>
      <c r="G395" s="19"/>
      <c r="H395" s="19"/>
      <c r="I395" s="146"/>
    </row>
    <row r="396" spans="1:66" s="8" customFormat="1" ht="29.25" x14ac:dyDescent="0.2">
      <c r="A396" s="10"/>
      <c r="B396" s="363" t="s">
        <v>905</v>
      </c>
      <c r="C396" s="363"/>
      <c r="D396" s="187"/>
      <c r="E396" s="167" t="s">
        <v>716</v>
      </c>
      <c r="F396" s="228" t="str">
        <f>IF(AND(ISNUMBER(Ewater_leach_TIME3),ISNUMBER(k_water),ISNUMBER(TIME3_bridge)),(Ewater_leach_TIME3/(Vwater_bridge*k_water*1000))*(1-(1-EXP(-TIME3_bridge*k_water))/(k_water*TIME3_bridge)),"??")</f>
        <v>??</v>
      </c>
      <c r="G396" s="19" t="s">
        <v>810</v>
      </c>
      <c r="H396" s="19" t="s">
        <v>8</v>
      </c>
      <c r="I396" s="146" t="s">
        <v>817</v>
      </c>
    </row>
    <row r="397" spans="1:66" s="8" customFormat="1" x14ac:dyDescent="0.2">
      <c r="A397" s="10"/>
      <c r="B397" s="185"/>
      <c r="C397" s="185"/>
      <c r="D397" s="185"/>
      <c r="E397" s="30"/>
      <c r="F397" s="30"/>
      <c r="G397" s="19"/>
      <c r="H397" s="19"/>
      <c r="I397" s="146"/>
    </row>
    <row r="398" spans="1:66" s="8" customFormat="1" x14ac:dyDescent="0.2">
      <c r="B398" s="86" t="s">
        <v>12</v>
      </c>
      <c r="G398" s="74"/>
      <c r="H398" s="74"/>
      <c r="I398" s="85"/>
    </row>
    <row r="399" spans="1:66" s="8" customFormat="1" x14ac:dyDescent="0.2">
      <c r="B399" s="86"/>
      <c r="C399" s="86"/>
      <c r="F399" s="87"/>
      <c r="G399" s="88"/>
      <c r="H399" s="74"/>
      <c r="I399" s="85"/>
    </row>
    <row r="400" spans="1:66" s="73" customFormat="1" collapsed="1" x14ac:dyDescent="0.2">
      <c r="B400" s="307" t="s">
        <v>818</v>
      </c>
      <c r="C400" s="115"/>
      <c r="G400" s="94"/>
      <c r="I400" s="94"/>
    </row>
    <row r="401" spans="2:9" s="73" customFormat="1" x14ac:dyDescent="0.2">
      <c r="C401" s="115"/>
      <c r="G401" s="94"/>
      <c r="I401" s="94"/>
    </row>
    <row r="402" spans="2:9" s="73" customFormat="1" x14ac:dyDescent="0.2">
      <c r="B402" s="366"/>
      <c r="C402" s="366"/>
      <c r="D402" s="366"/>
      <c r="E402" s="366"/>
      <c r="F402" s="366"/>
      <c r="G402" s="366"/>
      <c r="H402" s="366"/>
      <c r="I402" s="366"/>
    </row>
    <row r="403" spans="2:9" s="73" customFormat="1" x14ac:dyDescent="0.2">
      <c r="I403" s="94"/>
    </row>
    <row r="404" spans="2:9" s="73" customFormat="1" x14ac:dyDescent="0.2">
      <c r="E404" s="94"/>
      <c r="F404" s="113"/>
      <c r="G404" s="113"/>
      <c r="H404" s="113"/>
      <c r="I404" s="94"/>
    </row>
    <row r="405" spans="2:9" s="73" customFormat="1" x14ac:dyDescent="0.2">
      <c r="B405" s="105"/>
      <c r="E405" s="94"/>
      <c r="F405" s="113"/>
      <c r="G405" s="113"/>
      <c r="H405" s="113"/>
      <c r="I405" s="94"/>
    </row>
    <row r="406" spans="2:9" s="73" customFormat="1" x14ac:dyDescent="0.2">
      <c r="B406" s="366"/>
      <c r="C406" s="366"/>
      <c r="E406" s="116"/>
      <c r="F406" s="117"/>
      <c r="G406" s="113"/>
      <c r="H406" s="113"/>
      <c r="I406" s="94"/>
    </row>
    <row r="407" spans="2:9" s="73" customFormat="1" x14ac:dyDescent="0.2">
      <c r="B407" s="105"/>
      <c r="E407" s="94"/>
      <c r="F407" s="113"/>
      <c r="G407" s="113"/>
      <c r="H407" s="113"/>
      <c r="I407" s="94"/>
    </row>
    <row r="408" spans="2:9" s="73" customFormat="1" x14ac:dyDescent="0.2">
      <c r="B408" s="105"/>
      <c r="D408" s="105"/>
      <c r="E408" s="116"/>
      <c r="F408" s="114"/>
      <c r="G408" s="113"/>
      <c r="H408" s="113"/>
      <c r="I408" s="94"/>
    </row>
    <row r="409" spans="2:9" s="73" customFormat="1" x14ac:dyDescent="0.2">
      <c r="B409" s="105"/>
      <c r="C409" s="105"/>
      <c r="D409" s="105"/>
      <c r="E409" s="116"/>
      <c r="F409" s="113"/>
      <c r="G409" s="113"/>
      <c r="H409" s="113"/>
      <c r="I409" s="113"/>
    </row>
    <row r="410" spans="2:9" s="73" customFormat="1" x14ac:dyDescent="0.2">
      <c r="B410" s="366"/>
      <c r="C410" s="366"/>
      <c r="E410" s="105"/>
      <c r="F410" s="114"/>
      <c r="G410" s="113"/>
      <c r="H410" s="113"/>
    </row>
    <row r="411" spans="2:9" s="73" customFormat="1" x14ac:dyDescent="0.2">
      <c r="B411" s="366"/>
      <c r="C411" s="366"/>
      <c r="E411" s="94"/>
      <c r="F411" s="113"/>
      <c r="G411" s="113"/>
      <c r="H411" s="113"/>
    </row>
    <row r="412" spans="2:9" s="73" customFormat="1" x14ac:dyDescent="0.2">
      <c r="B412" s="366"/>
      <c r="C412" s="366"/>
      <c r="E412" s="94"/>
      <c r="F412" s="114"/>
      <c r="G412" s="113"/>
      <c r="H412" s="113"/>
    </row>
    <row r="413" spans="2:9" s="73" customFormat="1" x14ac:dyDescent="0.2">
      <c r="B413" s="105"/>
      <c r="C413" s="105"/>
      <c r="E413" s="94"/>
      <c r="F413" s="113"/>
      <c r="G413" s="113"/>
      <c r="H413" s="113"/>
    </row>
    <row r="414" spans="2:9" s="73" customFormat="1" x14ac:dyDescent="0.2">
      <c r="B414" s="105"/>
      <c r="C414" s="105"/>
      <c r="E414" s="94"/>
      <c r="F414" s="113"/>
      <c r="G414" s="113"/>
      <c r="H414" s="113"/>
    </row>
    <row r="415" spans="2:9" s="73" customFormat="1" x14ac:dyDescent="0.2">
      <c r="B415" s="105"/>
      <c r="C415" s="105"/>
      <c r="E415" s="94"/>
      <c r="F415" s="113"/>
      <c r="G415" s="113"/>
      <c r="H415" s="113"/>
      <c r="I415" s="116"/>
    </row>
    <row r="416" spans="2:9" s="73" customFormat="1" x14ac:dyDescent="0.2">
      <c r="B416" s="105"/>
      <c r="C416" s="105"/>
      <c r="E416" s="94"/>
      <c r="F416" s="113"/>
      <c r="G416" s="113"/>
      <c r="H416" s="113"/>
    </row>
    <row r="417" spans="2:9" s="73" customFormat="1" x14ac:dyDescent="0.2">
      <c r="B417" s="105"/>
      <c r="C417" s="105"/>
      <c r="E417" s="94"/>
      <c r="F417" s="113"/>
      <c r="G417" s="113"/>
      <c r="H417" s="113"/>
    </row>
    <row r="418" spans="2:9" s="73" customFormat="1" x14ac:dyDescent="0.2">
      <c r="B418" s="105"/>
      <c r="C418" s="105"/>
      <c r="E418" s="94"/>
      <c r="F418" s="113"/>
      <c r="G418" s="113"/>
      <c r="H418" s="113"/>
    </row>
    <row r="419" spans="2:9" s="73" customFormat="1" x14ac:dyDescent="0.2">
      <c r="B419" s="105"/>
      <c r="C419" s="105"/>
      <c r="E419" s="94"/>
      <c r="F419" s="113"/>
      <c r="G419" s="113"/>
      <c r="H419" s="113"/>
    </row>
    <row r="420" spans="2:9" s="73" customFormat="1" x14ac:dyDescent="0.2"/>
    <row r="421" spans="2:9" s="73" customFormat="1" x14ac:dyDescent="0.2"/>
    <row r="422" spans="2:9" s="73" customFormat="1" x14ac:dyDescent="0.2">
      <c r="E422" s="94"/>
      <c r="F422" s="113"/>
      <c r="G422" s="113"/>
      <c r="H422" s="113"/>
      <c r="I422" s="94"/>
    </row>
    <row r="423" spans="2:9" s="73" customFormat="1" x14ac:dyDescent="0.2">
      <c r="I423" s="94"/>
    </row>
    <row r="424" spans="2:9" s="73" customFormat="1" x14ac:dyDescent="0.2">
      <c r="B424" s="366"/>
      <c r="C424" s="366"/>
      <c r="D424" s="366"/>
      <c r="E424" s="116"/>
      <c r="F424" s="118"/>
      <c r="G424" s="113"/>
      <c r="H424" s="113"/>
      <c r="I424" s="94"/>
    </row>
    <row r="425" spans="2:9" s="73" customFormat="1" x14ac:dyDescent="0.2">
      <c r="B425" s="105"/>
      <c r="C425" s="105"/>
      <c r="D425" s="105"/>
      <c r="E425" s="116"/>
      <c r="F425" s="116"/>
      <c r="G425" s="113"/>
      <c r="H425" s="113"/>
      <c r="I425" s="94"/>
    </row>
    <row r="426" spans="2:9" s="73" customFormat="1" x14ac:dyDescent="0.2">
      <c r="B426" s="366"/>
      <c r="C426" s="366"/>
      <c r="D426" s="366"/>
      <c r="E426" s="116"/>
      <c r="F426" s="118"/>
      <c r="G426" s="113"/>
      <c r="H426" s="113"/>
      <c r="I426" s="94"/>
    </row>
    <row r="427" spans="2:9" s="73" customFormat="1" x14ac:dyDescent="0.2">
      <c r="B427" s="105"/>
      <c r="C427" s="105"/>
      <c r="D427" s="105"/>
      <c r="E427" s="116"/>
      <c r="F427" s="116"/>
      <c r="G427" s="113"/>
      <c r="H427" s="113"/>
      <c r="I427" s="94"/>
    </row>
    <row r="428" spans="2:9" s="73" customFormat="1" x14ac:dyDescent="0.2">
      <c r="B428" s="116"/>
      <c r="C428" s="116"/>
      <c r="D428" s="105"/>
      <c r="E428" s="116"/>
      <c r="F428" s="116"/>
      <c r="H428" s="113"/>
      <c r="I428" s="113"/>
    </row>
    <row r="429" spans="2:9" s="73" customFormat="1" x14ac:dyDescent="0.2">
      <c r="I429" s="94"/>
    </row>
    <row r="430" spans="2:9" s="73" customFormat="1" x14ac:dyDescent="0.2">
      <c r="G430" s="94"/>
      <c r="I430" s="94"/>
    </row>
    <row r="431" spans="2:9" s="73" customFormat="1" x14ac:dyDescent="0.2">
      <c r="C431" s="115"/>
      <c r="G431" s="94"/>
      <c r="I431" s="94"/>
    </row>
    <row r="432" spans="2:9" s="73" customFormat="1" x14ac:dyDescent="0.2">
      <c r="C432" s="115"/>
      <c r="G432" s="94"/>
      <c r="I432" s="94"/>
    </row>
    <row r="433" spans="5:5" s="73" customFormat="1" x14ac:dyDescent="0.2">
      <c r="E433" s="94"/>
    </row>
    <row r="434" spans="5:5" s="73" customFormat="1" x14ac:dyDescent="0.2">
      <c r="E434" s="94"/>
    </row>
    <row r="435" spans="5:5" s="73" customFormat="1" x14ac:dyDescent="0.2">
      <c r="E435" s="94"/>
    </row>
    <row r="436" spans="5:5" s="73" customFormat="1" x14ac:dyDescent="0.2">
      <c r="E436" s="94"/>
    </row>
    <row r="437" spans="5:5" s="73" customFormat="1" x14ac:dyDescent="0.2">
      <c r="E437" s="94"/>
    </row>
    <row r="438" spans="5:5" s="73" customFormat="1" x14ac:dyDescent="0.2">
      <c r="E438" s="94"/>
    </row>
    <row r="439" spans="5:5" s="73" customFormat="1" x14ac:dyDescent="0.2">
      <c r="E439" s="94"/>
    </row>
    <row r="440" spans="5:5" s="73" customFormat="1" x14ac:dyDescent="0.2">
      <c r="E440" s="94"/>
    </row>
    <row r="441" spans="5:5" s="10" customFormat="1" x14ac:dyDescent="0.2">
      <c r="E441" s="61"/>
    </row>
    <row r="442" spans="5:5" s="10" customFormat="1" x14ac:dyDescent="0.2">
      <c r="E442" s="61"/>
    </row>
    <row r="443" spans="5:5" s="10" customFormat="1" x14ac:dyDescent="0.2">
      <c r="E443" s="61"/>
    </row>
    <row r="444" spans="5:5" s="10" customFormat="1" x14ac:dyDescent="0.2">
      <c r="E444" s="61"/>
    </row>
    <row r="445" spans="5:5" s="10" customFormat="1" x14ac:dyDescent="0.2">
      <c r="E445" s="61"/>
    </row>
    <row r="446" spans="5:5" s="10" customFormat="1" x14ac:dyDescent="0.2">
      <c r="E446" s="61"/>
    </row>
    <row r="447" spans="5:5" s="10" customFormat="1" x14ac:dyDescent="0.2">
      <c r="E447" s="61"/>
    </row>
    <row r="448" spans="5:5" s="10" customFormat="1" x14ac:dyDescent="0.2">
      <c r="E448" s="61"/>
    </row>
    <row r="449" spans="5:5" s="10" customFormat="1" x14ac:dyDescent="0.2">
      <c r="E449" s="61"/>
    </row>
    <row r="450" spans="5:5" s="10" customFormat="1" x14ac:dyDescent="0.2">
      <c r="E450" s="61"/>
    </row>
    <row r="451" spans="5:5" s="10" customFormat="1" x14ac:dyDescent="0.2">
      <c r="E451" s="61"/>
    </row>
    <row r="452" spans="5:5" s="10" customFormat="1" x14ac:dyDescent="0.2">
      <c r="E452" s="61"/>
    </row>
    <row r="453" spans="5:5" s="10" customFormat="1" x14ac:dyDescent="0.2">
      <c r="E453" s="61"/>
    </row>
    <row r="454" spans="5:5" s="10" customFormat="1" x14ac:dyDescent="0.2">
      <c r="E454" s="61"/>
    </row>
    <row r="455" spans="5:5" s="10" customFormat="1" x14ac:dyDescent="0.2">
      <c r="E455" s="61"/>
    </row>
    <row r="456" spans="5:5" s="8" customFormat="1" x14ac:dyDescent="0.2">
      <c r="E456" s="85"/>
    </row>
    <row r="457" spans="5:5" s="8" customFormat="1" x14ac:dyDescent="0.2">
      <c r="E457" s="85"/>
    </row>
    <row r="458" spans="5:5" s="8" customFormat="1" x14ac:dyDescent="0.2">
      <c r="E458" s="85"/>
    </row>
    <row r="459" spans="5:5" s="8" customFormat="1" x14ac:dyDescent="0.2">
      <c r="E459" s="85"/>
    </row>
    <row r="460" spans="5:5" s="8" customFormat="1" x14ac:dyDescent="0.2">
      <c r="E460" s="85"/>
    </row>
    <row r="461" spans="5:5" s="8" customFormat="1" x14ac:dyDescent="0.2">
      <c r="E461" s="85"/>
    </row>
    <row r="462" spans="5:5" s="8" customFormat="1" x14ac:dyDescent="0.2">
      <c r="E462" s="85"/>
    </row>
    <row r="463" spans="5:5" s="8" customFormat="1" x14ac:dyDescent="0.2">
      <c r="E463" s="85"/>
    </row>
    <row r="464" spans="5:5" s="8" customFormat="1" x14ac:dyDescent="0.2">
      <c r="E464" s="85"/>
    </row>
    <row r="465" spans="5:5" s="8" customFormat="1" x14ac:dyDescent="0.2">
      <c r="E465" s="85"/>
    </row>
    <row r="466" spans="5:5" s="8" customFormat="1" x14ac:dyDescent="0.2">
      <c r="E466" s="85"/>
    </row>
    <row r="467" spans="5:5" s="8" customFormat="1" x14ac:dyDescent="0.2">
      <c r="E467" s="85"/>
    </row>
    <row r="468" spans="5:5" s="8" customFormat="1" x14ac:dyDescent="0.2">
      <c r="E468" s="85"/>
    </row>
    <row r="469" spans="5:5" s="8" customFormat="1" x14ac:dyDescent="0.2">
      <c r="E469" s="85"/>
    </row>
    <row r="470" spans="5:5" s="8" customFormat="1" x14ac:dyDescent="0.2">
      <c r="E470" s="85"/>
    </row>
    <row r="471" spans="5:5" s="8" customFormat="1" x14ac:dyDescent="0.2">
      <c r="E471" s="85"/>
    </row>
    <row r="472" spans="5:5" s="8" customFormat="1" x14ac:dyDescent="0.2">
      <c r="E472" s="85"/>
    </row>
    <row r="473" spans="5:5" s="8" customFormat="1" x14ac:dyDescent="0.2">
      <c r="E473" s="85"/>
    </row>
    <row r="474" spans="5:5" s="8" customFormat="1" x14ac:dyDescent="0.2">
      <c r="E474" s="85"/>
    </row>
    <row r="475" spans="5:5" s="8" customFormat="1" x14ac:dyDescent="0.2">
      <c r="E475" s="85"/>
    </row>
    <row r="476" spans="5:5" s="8" customFormat="1" x14ac:dyDescent="0.2">
      <c r="E476" s="85"/>
    </row>
    <row r="477" spans="5:5" s="8" customFormat="1" x14ac:dyDescent="0.2">
      <c r="E477" s="85"/>
    </row>
    <row r="478" spans="5:5" s="8" customFormat="1" x14ac:dyDescent="0.2">
      <c r="E478" s="85"/>
    </row>
    <row r="479" spans="5:5" s="8" customFormat="1" x14ac:dyDescent="0.2">
      <c r="E479" s="85"/>
    </row>
    <row r="480" spans="5:5" s="8" customFormat="1" x14ac:dyDescent="0.2">
      <c r="E480" s="85"/>
    </row>
    <row r="481" spans="5:5" s="8" customFormat="1" x14ac:dyDescent="0.2">
      <c r="E481" s="85"/>
    </row>
    <row r="482" spans="5:5" s="8" customFormat="1" x14ac:dyDescent="0.2">
      <c r="E482" s="85"/>
    </row>
    <row r="483" spans="5:5" s="8" customFormat="1" x14ac:dyDescent="0.2">
      <c r="E483" s="85"/>
    </row>
    <row r="484" spans="5:5" s="8" customFormat="1" x14ac:dyDescent="0.2">
      <c r="E484" s="85"/>
    </row>
    <row r="485" spans="5:5" s="8" customFormat="1" x14ac:dyDescent="0.2">
      <c r="E485" s="85"/>
    </row>
    <row r="486" spans="5:5" s="8" customFormat="1" x14ac:dyDescent="0.2">
      <c r="E486" s="85"/>
    </row>
  </sheetData>
  <sheetProtection algorithmName="SHA-512" hashValue="UpFytJiXqA2VEFTu+7kuPTd8LbBgpZngaFvuAKhE1MZk9zhr53R1L+eq2xbeg1N4R9GrfKCzrdaxocuox2Ap7Q==" saltValue="WZMh7DO6G1nHZMFax+0LsQ==" spinCount="100000" sheet="1" objects="1" scenarios="1" formatCells="0" formatColumns="0" formatRows="0"/>
  <mergeCells count="164">
    <mergeCell ref="B26:I26"/>
    <mergeCell ref="B390:I390"/>
    <mergeCell ref="B282:I282"/>
    <mergeCell ref="B273:I273"/>
    <mergeCell ref="B189:I189"/>
    <mergeCell ref="B173:I173"/>
    <mergeCell ref="B95:I95"/>
    <mergeCell ref="B79:I79"/>
    <mergeCell ref="B370:C370"/>
    <mergeCell ref="B83:C83"/>
    <mergeCell ref="B355:C355"/>
    <mergeCell ref="B382:I382"/>
    <mergeCell ref="B384:C384"/>
    <mergeCell ref="B388:C388"/>
    <mergeCell ref="B304:I304"/>
    <mergeCell ref="B307:I307"/>
    <mergeCell ref="B308:I308"/>
    <mergeCell ref="B75:C75"/>
    <mergeCell ref="B99:C99"/>
    <mergeCell ref="B193:C193"/>
    <mergeCell ref="B169:C169"/>
    <mergeCell ref="B37:C37"/>
    <mergeCell ref="B153:C153"/>
    <mergeCell ref="B131:C131"/>
    <mergeCell ref="B394:C394"/>
    <mergeCell ref="B25:I25"/>
    <mergeCell ref="B118:I118"/>
    <mergeCell ref="B119:I119"/>
    <mergeCell ref="B212:I212"/>
    <mergeCell ref="B305:I305"/>
    <mergeCell ref="B306:I306"/>
    <mergeCell ref="B286:C286"/>
    <mergeCell ref="B292:C292"/>
    <mergeCell ref="B323:C323"/>
    <mergeCell ref="B324:C324"/>
    <mergeCell ref="B325:C325"/>
    <mergeCell ref="B330:C330"/>
    <mergeCell ref="B364:C364"/>
    <mergeCell ref="B378:C378"/>
    <mergeCell ref="B386:C386"/>
    <mergeCell ref="B230:C230"/>
    <mergeCell ref="B105:C105"/>
    <mergeCell ref="B137:C137"/>
    <mergeCell ref="B138:C138"/>
    <mergeCell ref="B165:D165"/>
    <mergeCell ref="B179:C179"/>
    <mergeCell ref="B145:C145"/>
    <mergeCell ref="B187:C187"/>
    <mergeCell ref="B181:I181"/>
    <mergeCell ref="B183:C183"/>
    <mergeCell ref="B185:C185"/>
    <mergeCell ref="B117:I117"/>
    <mergeCell ref="B120:I120"/>
    <mergeCell ref="B121:I121"/>
    <mergeCell ref="B57:I57"/>
    <mergeCell ref="B97:C97"/>
    <mergeCell ref="B101:C101"/>
    <mergeCell ref="B103:C103"/>
    <mergeCell ref="B107:C107"/>
    <mergeCell ref="B87:I87"/>
    <mergeCell ref="B89:C89"/>
    <mergeCell ref="B93:C93"/>
    <mergeCell ref="B71:C71"/>
    <mergeCell ref="B81:C81"/>
    <mergeCell ref="B73:C73"/>
    <mergeCell ref="B77:C77"/>
    <mergeCell ref="B91:C91"/>
    <mergeCell ref="B67:C67"/>
    <mergeCell ref="B426:D426"/>
    <mergeCell ref="B155:C155"/>
    <mergeCell ref="B244:C244"/>
    <mergeCell ref="B246:C246"/>
    <mergeCell ref="B197:C197"/>
    <mergeCell ref="B191:C191"/>
    <mergeCell ref="B402:I402"/>
    <mergeCell ref="B135:C135"/>
    <mergeCell ref="B136:C136"/>
    <mergeCell ref="B141:C141"/>
    <mergeCell ref="B320:C320"/>
    <mergeCell ref="B322:C322"/>
    <mergeCell ref="B328:C328"/>
    <mergeCell ref="B331:C331"/>
    <mergeCell ref="B332:C332"/>
    <mergeCell ref="B163:D163"/>
    <mergeCell ref="B362:C362"/>
    <mergeCell ref="B366:C366"/>
    <mergeCell ref="B376:C376"/>
    <mergeCell ref="B380:C380"/>
    <mergeCell ref="B267:C267"/>
    <mergeCell ref="B271:C271"/>
    <mergeCell ref="B228:C228"/>
    <mergeCell ref="B211:I211"/>
    <mergeCell ref="B406:C406"/>
    <mergeCell ref="B410:C410"/>
    <mergeCell ref="B411:C411"/>
    <mergeCell ref="B412:C412"/>
    <mergeCell ref="B424:D424"/>
    <mergeCell ref="B207:I207"/>
    <mergeCell ref="B300:I300"/>
    <mergeCell ref="B142:C142"/>
    <mergeCell ref="B220:C220"/>
    <mergeCell ref="B222:C222"/>
    <mergeCell ref="B223:C223"/>
    <mergeCell ref="B256:C256"/>
    <mergeCell ref="B278:C278"/>
    <mergeCell ref="B280:C280"/>
    <mergeCell ref="B175:C175"/>
    <mergeCell ref="B263:C263"/>
    <mergeCell ref="B372:C372"/>
    <mergeCell ref="B392:C392"/>
    <mergeCell ref="B396:C396"/>
    <mergeCell ref="B177:C177"/>
    <mergeCell ref="B167:C167"/>
    <mergeCell ref="B269:C269"/>
    <mergeCell ref="B261:C261"/>
    <mergeCell ref="B374:I374"/>
    <mergeCell ref="B368:C368"/>
    <mergeCell ref="B340:C340"/>
    <mergeCell ref="B342:C342"/>
    <mergeCell ref="B344:C344"/>
    <mergeCell ref="B346:C346"/>
    <mergeCell ref="B17:I17"/>
    <mergeCell ref="B24:I24"/>
    <mergeCell ref="B27:I27"/>
    <mergeCell ref="B39:C39"/>
    <mergeCell ref="B47:C47"/>
    <mergeCell ref="B49:C49"/>
    <mergeCell ref="B51:C51"/>
    <mergeCell ref="B143:C143"/>
    <mergeCell ref="B161:D161"/>
    <mergeCell ref="B314:I314"/>
    <mergeCell ref="B318:C318"/>
    <mergeCell ref="B33:I33"/>
    <mergeCell ref="B85:C85"/>
    <mergeCell ref="B195:C195"/>
    <mergeCell ref="B199:C199"/>
    <mergeCell ref="B284:C284"/>
    <mergeCell ref="B288:C288"/>
    <mergeCell ref="B290:C290"/>
    <mergeCell ref="B294:C294"/>
    <mergeCell ref="B59:C59"/>
    <mergeCell ref="B43:C43"/>
    <mergeCell ref="B69:C69"/>
    <mergeCell ref="B213:I213"/>
    <mergeCell ref="B214:I214"/>
    <mergeCell ref="B18:I18"/>
    <mergeCell ref="B14:I14"/>
    <mergeCell ref="B5:I5"/>
    <mergeCell ref="B338:C338"/>
    <mergeCell ref="B252:C252"/>
    <mergeCell ref="B232:C232"/>
    <mergeCell ref="B259:C259"/>
    <mergeCell ref="B276:C276"/>
    <mergeCell ref="B224:C224"/>
    <mergeCell ref="B225:C225"/>
    <mergeCell ref="B254:C254"/>
    <mergeCell ref="B61:C61"/>
    <mergeCell ref="B41:C41"/>
    <mergeCell ref="B44:C44"/>
    <mergeCell ref="B133:C133"/>
    <mergeCell ref="B171:C171"/>
    <mergeCell ref="B201:C201"/>
    <mergeCell ref="B127:I127"/>
    <mergeCell ref="B23:I23"/>
  </mergeCells>
  <dataValidations count="3">
    <dataValidation type="list" allowBlank="1" showInputMessage="1" showErrorMessage="1" sqref="C45 C139 C326">
      <formula1>application_method_process</formula1>
    </dataValidation>
    <dataValidation type="list" allowBlank="1" showInputMessage="1" showErrorMessage="1" sqref="C35 C129 C316">
      <formula1>YesNo</formula1>
    </dataValidation>
    <dataValidation type="list" allowBlank="1" showInputMessage="1" showErrorMessage="1" sqref="C226">
      <formula1>application_except_noisebarrier</formula1>
    </dataValidation>
  </dataValidations>
  <hyperlinks>
    <hyperlink ref="B9:C9" location="'PT8-treatd wood in service UC3 '!A__House_scenario" display="A) House scenario (ESD Table 4.15, p.70 &amp; Table 3.5, p.28)"/>
    <hyperlink ref="B10:C10" location="'PT8-treatd wood in service UC3 '!B__Fence_scenario" display="B) Fence scenario (ESD Table 4.16, p.72 &amp; Table 3.5, p.28)"/>
    <hyperlink ref="B11:C11" location="'PT8-treatd wood in service UC3 '!C__Noise_barrier_scenario" display="C) Noise barrier scenario (ESD Table 4.17, p.74 &amp; Table 3.5, p.28)"/>
    <hyperlink ref="B12:C12" location="'PT8-treatd wood in service UC3 '!D__Bridge_over_pond_scenario" display="D) Bridge over pond scenario (ESD Table 4.18, p.76 &amp; Table 3.8, p.31-32)"/>
    <hyperlink ref="B400" location="'PT8-treatd wood in service UC3 '!A1" display="Go to the top of the page"/>
    <hyperlink ref="B298" location="'PT8-treatd wood in service UC3 '!A1" display="Go to the top of the page"/>
    <hyperlink ref="B205" location="'PT8-treatd wood in service UC3 '!A1" display="Go to the top of the page"/>
    <hyperlink ref="B111" location="'PT8-treatd wood in service UC3 '!A1" display="Go to the top of the pag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92"/>
  <sheetViews>
    <sheetView zoomScale="89" zoomScaleNormal="89" workbookViewId="0"/>
  </sheetViews>
  <sheetFormatPr defaultColWidth="8.75" defaultRowHeight="12.75" x14ac:dyDescent="0.2"/>
  <cols>
    <col min="1" max="1" width="1.625" style="8" customWidth="1"/>
    <col min="2" max="2" width="35.625" style="11" customWidth="1"/>
    <col min="3" max="3" width="25.625" style="11" customWidth="1"/>
    <col min="4" max="4" width="1.625" style="11" customWidth="1"/>
    <col min="5" max="5" width="20.625" style="91" customWidth="1"/>
    <col min="6" max="6" width="15.625" style="11" customWidth="1"/>
    <col min="7" max="8" width="10.625" style="11" customWidth="1"/>
    <col min="9" max="9" width="55.625" style="11" customWidth="1"/>
    <col min="10" max="11" width="15.625" style="8" customWidth="1"/>
    <col min="12" max="60" width="8.75" style="8"/>
    <col min="61" max="16384" width="8.75" style="11"/>
  </cols>
  <sheetData>
    <row r="1" spans="1:60" x14ac:dyDescent="0.2">
      <c r="A1" s="10"/>
      <c r="B1" s="10"/>
      <c r="C1" s="10"/>
      <c r="D1" s="10"/>
      <c r="E1" s="61"/>
      <c r="F1" s="10"/>
      <c r="G1" s="10"/>
      <c r="H1" s="10"/>
      <c r="I1" s="10"/>
      <c r="J1" s="10"/>
      <c r="K1" s="10"/>
      <c r="L1" s="10"/>
    </row>
    <row r="2" spans="1:60" ht="20.25" x14ac:dyDescent="0.2">
      <c r="A2" s="10"/>
      <c r="B2" s="64" t="s">
        <v>35</v>
      </c>
      <c r="C2" s="65"/>
      <c r="D2" s="65"/>
      <c r="E2" s="66"/>
      <c r="F2" s="10"/>
      <c r="G2" s="10"/>
      <c r="H2" s="10"/>
      <c r="I2" s="10"/>
      <c r="J2" s="10"/>
      <c r="K2" s="10"/>
      <c r="L2" s="10"/>
    </row>
    <row r="3" spans="1:60" x14ac:dyDescent="0.2">
      <c r="A3" s="10"/>
      <c r="B3" s="67"/>
      <c r="C3" s="67"/>
      <c r="D3" s="67"/>
      <c r="E3" s="68"/>
      <c r="F3" s="10"/>
      <c r="G3" s="10"/>
      <c r="H3" s="10"/>
      <c r="I3" s="10"/>
      <c r="J3" s="10"/>
      <c r="K3" s="10"/>
      <c r="L3" s="10"/>
    </row>
    <row r="4" spans="1:60" ht="15" x14ac:dyDescent="0.2">
      <c r="A4" s="10"/>
      <c r="B4" s="69"/>
      <c r="C4" s="69"/>
      <c r="D4" s="69"/>
      <c r="E4" s="70"/>
      <c r="F4" s="10"/>
      <c r="G4" s="10"/>
      <c r="H4" s="10"/>
      <c r="I4" s="10"/>
      <c r="J4" s="10"/>
      <c r="K4" s="10"/>
      <c r="L4" s="10"/>
    </row>
    <row r="5" spans="1:60" ht="41.25" customHeight="1" x14ac:dyDescent="0.2">
      <c r="A5" s="10"/>
      <c r="B5" s="368" t="s">
        <v>534</v>
      </c>
      <c r="C5" s="368"/>
      <c r="D5" s="368"/>
      <c r="E5" s="368"/>
      <c r="F5" s="368"/>
      <c r="G5" s="368"/>
      <c r="H5" s="368"/>
      <c r="I5" s="368"/>
      <c r="J5" s="10"/>
      <c r="K5" s="10"/>
      <c r="L5" s="10"/>
    </row>
    <row r="6" spans="1:60" s="75" customFormat="1" ht="13.5" thickBot="1" x14ac:dyDescent="0.25">
      <c r="A6" s="73"/>
      <c r="B6" s="33"/>
      <c r="C6" s="33"/>
      <c r="D6" s="33"/>
      <c r="E6" s="40"/>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s="75" customFormat="1" ht="14.25" x14ac:dyDescent="0.2">
      <c r="A7" s="73"/>
      <c r="B7" s="172" t="s">
        <v>494</v>
      </c>
      <c r="C7" s="173"/>
      <c r="D7" s="173"/>
      <c r="E7" s="174"/>
      <c r="F7" s="175"/>
      <c r="G7" s="175"/>
      <c r="H7" s="175"/>
      <c r="I7" s="1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0" s="75" customFormat="1" x14ac:dyDescent="0.2">
      <c r="A8" s="73"/>
      <c r="B8" s="177"/>
      <c r="C8" s="33"/>
      <c r="D8" s="33"/>
      <c r="E8" s="40"/>
      <c r="F8" s="73"/>
      <c r="G8" s="73"/>
      <c r="H8" s="73"/>
      <c r="I8" s="149"/>
      <c r="J8" s="73"/>
      <c r="K8" s="73"/>
      <c r="L8" s="73"/>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1:60" s="75" customFormat="1" ht="15" x14ac:dyDescent="0.2">
      <c r="A9" s="73"/>
      <c r="B9" s="385" t="s">
        <v>615</v>
      </c>
      <c r="C9" s="386"/>
      <c r="D9" s="386"/>
      <c r="E9" s="386"/>
      <c r="F9" s="386"/>
      <c r="G9" s="73"/>
      <c r="H9" s="73"/>
      <c r="I9" s="149"/>
      <c r="J9" s="73"/>
      <c r="K9" s="73"/>
      <c r="L9" s="73"/>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s="75" customFormat="1" ht="15" x14ac:dyDescent="0.2">
      <c r="A10" s="73"/>
      <c r="B10" s="385" t="s">
        <v>613</v>
      </c>
      <c r="C10" s="386"/>
      <c r="D10" s="386"/>
      <c r="E10" s="386"/>
      <c r="F10" s="386"/>
      <c r="G10" s="73"/>
      <c r="H10" s="73"/>
      <c r="I10" s="149"/>
      <c r="J10" s="73"/>
      <c r="K10" s="73"/>
      <c r="L10" s="73"/>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60" s="75" customFormat="1" ht="15" x14ac:dyDescent="0.2">
      <c r="A11" s="73"/>
      <c r="B11" s="286"/>
      <c r="C11" s="287"/>
      <c r="D11" s="287"/>
      <c r="E11" s="287"/>
      <c r="F11" s="287"/>
      <c r="G11" s="73"/>
      <c r="H11" s="73"/>
      <c r="I11" s="149"/>
      <c r="J11" s="73"/>
      <c r="K11" s="73"/>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60" s="75" customFormat="1" ht="30" customHeight="1" thickBot="1" x14ac:dyDescent="0.25">
      <c r="A12" s="73"/>
      <c r="B12" s="378" t="s">
        <v>745</v>
      </c>
      <c r="C12" s="379"/>
      <c r="D12" s="379"/>
      <c r="E12" s="379"/>
      <c r="F12" s="379"/>
      <c r="G12" s="379"/>
      <c r="H12" s="379"/>
      <c r="I12" s="380"/>
      <c r="J12" s="73"/>
      <c r="K12" s="73"/>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60" s="75" customFormat="1" x14ac:dyDescent="0.2">
      <c r="A13" s="73"/>
      <c r="B13" s="188"/>
      <c r="C13" s="33"/>
      <c r="D13" s="33"/>
      <c r="E13" s="40"/>
      <c r="F13" s="73"/>
      <c r="G13" s="73"/>
      <c r="H13" s="73"/>
      <c r="I13" s="73"/>
      <c r="J13" s="73"/>
      <c r="K13" s="73"/>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row>
    <row r="14" spans="1:60" s="75" customFormat="1" ht="14.25" x14ac:dyDescent="0.2">
      <c r="A14" s="73"/>
      <c r="B14" s="56" t="s">
        <v>493</v>
      </c>
      <c r="C14" s="57"/>
      <c r="D14" s="57"/>
      <c r="E14" s="58"/>
      <c r="F14" s="76"/>
      <c r="G14" s="76"/>
      <c r="H14" s="76"/>
      <c r="I14" s="76"/>
      <c r="J14" s="73"/>
      <c r="K14" s="73"/>
      <c r="L14" s="73"/>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row>
    <row r="15" spans="1:60" s="8" customFormat="1" ht="33.75" customHeight="1" x14ac:dyDescent="0.2">
      <c r="B15" s="377" t="s">
        <v>885</v>
      </c>
      <c r="C15" s="372"/>
      <c r="D15" s="372"/>
      <c r="E15" s="372"/>
      <c r="F15" s="372"/>
      <c r="G15" s="372"/>
      <c r="H15" s="372"/>
      <c r="I15" s="372"/>
      <c r="J15" s="42"/>
      <c r="K15" s="42"/>
      <c r="L15" s="42"/>
    </row>
    <row r="16" spans="1:60" s="8" customFormat="1" ht="32.25" customHeight="1" x14ac:dyDescent="0.2">
      <c r="B16" s="377" t="s">
        <v>887</v>
      </c>
      <c r="C16" s="372"/>
      <c r="D16" s="372"/>
      <c r="E16" s="372"/>
      <c r="F16" s="372"/>
      <c r="G16" s="372"/>
      <c r="H16" s="372"/>
      <c r="I16" s="372"/>
      <c r="J16" s="42"/>
      <c r="K16" s="42"/>
      <c r="L16" s="42"/>
    </row>
    <row r="17" spans="1:65" s="8" customFormat="1" ht="14.25" x14ac:dyDescent="0.2">
      <c r="B17" s="312"/>
      <c r="C17" s="312"/>
      <c r="D17" s="312"/>
      <c r="E17" s="312"/>
      <c r="F17" s="312"/>
      <c r="G17" s="312"/>
      <c r="H17" s="312"/>
      <c r="I17" s="312"/>
      <c r="J17" s="42"/>
      <c r="K17" s="42"/>
      <c r="L17" s="42"/>
    </row>
    <row r="18" spans="1:65" s="207" customFormat="1" ht="15" x14ac:dyDescent="0.2">
      <c r="A18" s="205"/>
      <c r="B18" s="201" t="s">
        <v>615</v>
      </c>
      <c r="C18" s="237"/>
      <c r="D18" s="238"/>
      <c r="E18" s="238"/>
      <c r="F18" s="205"/>
      <c r="G18" s="205"/>
      <c r="H18" s="205"/>
      <c r="I18" s="205"/>
      <c r="J18" s="205"/>
      <c r="K18" s="205"/>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row>
    <row r="19" spans="1:65" ht="15" x14ac:dyDescent="0.2">
      <c r="A19" s="10"/>
      <c r="B19" s="73"/>
      <c r="C19" s="18"/>
      <c r="D19" s="31"/>
      <c r="E19" s="31"/>
      <c r="F19" s="31"/>
      <c r="G19" s="31"/>
      <c r="H19" s="31"/>
      <c r="I19" s="31"/>
      <c r="J19" s="10"/>
      <c r="K19" s="10"/>
      <c r="L19" s="10"/>
      <c r="M19" s="10"/>
      <c r="BI19" s="8"/>
    </row>
    <row r="20" spans="1:65" x14ac:dyDescent="0.2">
      <c r="A20" s="10"/>
      <c r="B20" s="82" t="s">
        <v>19</v>
      </c>
      <c r="C20" s="82"/>
      <c r="D20" s="82"/>
      <c r="E20" s="77"/>
      <c r="F20" s="77"/>
      <c r="G20" s="77"/>
      <c r="H20" s="77"/>
      <c r="I20" s="83"/>
      <c r="AS20" s="11"/>
      <c r="AT20" s="11"/>
      <c r="AU20" s="11"/>
      <c r="AV20" s="11"/>
      <c r="AW20" s="11"/>
      <c r="AX20" s="11"/>
      <c r="AY20" s="11"/>
      <c r="AZ20" s="11"/>
      <c r="BA20" s="11"/>
      <c r="BB20" s="11"/>
      <c r="BC20" s="11"/>
      <c r="BD20" s="11"/>
      <c r="BE20" s="11"/>
      <c r="BF20" s="11"/>
      <c r="BG20" s="11"/>
      <c r="BH20" s="11"/>
    </row>
    <row r="21" spans="1:65" x14ac:dyDescent="0.2">
      <c r="A21" s="10"/>
      <c r="B21" s="366" t="s">
        <v>967</v>
      </c>
      <c r="C21" s="366"/>
      <c r="D21" s="366"/>
      <c r="E21" s="366"/>
      <c r="F21" s="366"/>
      <c r="G21" s="366"/>
      <c r="H21" s="366"/>
      <c r="I21" s="366"/>
      <c r="AS21" s="11"/>
      <c r="AT21" s="11"/>
      <c r="AU21" s="11"/>
      <c r="AV21" s="11"/>
      <c r="AW21" s="11"/>
      <c r="AX21" s="11"/>
      <c r="AY21" s="11"/>
      <c r="AZ21" s="11"/>
      <c r="BA21" s="11"/>
      <c r="BB21" s="11"/>
      <c r="BC21" s="11"/>
      <c r="BD21" s="11"/>
      <c r="BE21" s="11"/>
      <c r="BF21" s="11"/>
      <c r="BG21" s="11"/>
      <c r="BH21" s="11"/>
    </row>
    <row r="22" spans="1:65" x14ac:dyDescent="0.2">
      <c r="A22" s="10"/>
      <c r="B22" s="387" t="s">
        <v>968</v>
      </c>
      <c r="C22" s="387"/>
      <c r="D22" s="387"/>
      <c r="E22" s="387"/>
      <c r="F22" s="387"/>
      <c r="G22" s="387"/>
      <c r="H22" s="387"/>
      <c r="I22" s="387"/>
      <c r="AS22" s="11"/>
      <c r="AT22" s="11"/>
      <c r="AU22" s="11"/>
      <c r="AV22" s="11"/>
      <c r="AW22" s="11"/>
      <c r="AX22" s="11"/>
      <c r="AY22" s="11"/>
      <c r="AZ22" s="11"/>
      <c r="BA22" s="11"/>
      <c r="BB22" s="11"/>
      <c r="BC22" s="11"/>
      <c r="BD22" s="11"/>
      <c r="BE22" s="11"/>
      <c r="BF22" s="11"/>
      <c r="BG22" s="11"/>
      <c r="BH22" s="11"/>
    </row>
    <row r="23" spans="1:65" x14ac:dyDescent="0.2">
      <c r="A23" s="10"/>
      <c r="B23" s="366" t="s">
        <v>278</v>
      </c>
      <c r="C23" s="366"/>
      <c r="D23" s="366"/>
      <c r="E23" s="366"/>
      <c r="F23" s="366"/>
      <c r="G23" s="366"/>
      <c r="H23" s="366"/>
      <c r="I23" s="366"/>
      <c r="J23" s="10"/>
      <c r="K23" s="10"/>
      <c r="L23" s="10"/>
      <c r="M23" s="10"/>
      <c r="N23" s="10"/>
      <c r="O23" s="10"/>
      <c r="P23" s="10"/>
      <c r="Q23" s="10"/>
      <c r="BI23" s="8"/>
      <c r="BJ23" s="8"/>
      <c r="BK23" s="8"/>
      <c r="BL23" s="8"/>
      <c r="BM23" s="8"/>
    </row>
    <row r="24" spans="1:65" s="8" customFormat="1" ht="3" customHeight="1" x14ac:dyDescent="0.2">
      <c r="A24" s="10"/>
      <c r="D24" s="31"/>
      <c r="E24" s="32"/>
      <c r="F24" s="84"/>
      <c r="G24" s="84"/>
      <c r="H24" s="84"/>
      <c r="I24" s="10"/>
      <c r="J24" s="10"/>
      <c r="K24" s="10"/>
      <c r="L24" s="10"/>
    </row>
    <row r="25" spans="1:65" ht="15" x14ac:dyDescent="0.2">
      <c r="A25" s="10"/>
      <c r="B25" s="4" t="s">
        <v>0</v>
      </c>
      <c r="C25" s="4"/>
      <c r="D25" s="4"/>
      <c r="E25" s="12"/>
      <c r="F25" s="12"/>
      <c r="G25" s="12"/>
      <c r="H25" s="12"/>
      <c r="I25" s="13"/>
      <c r="AS25" s="11"/>
      <c r="AT25" s="11"/>
      <c r="AU25" s="11"/>
      <c r="AV25" s="11"/>
      <c r="AW25" s="11"/>
      <c r="AX25" s="11"/>
      <c r="AY25" s="11"/>
      <c r="AZ25" s="11"/>
      <c r="BA25" s="11"/>
      <c r="BB25" s="11"/>
      <c r="BC25" s="11"/>
      <c r="BD25" s="11"/>
      <c r="BE25" s="11"/>
      <c r="BF25" s="11"/>
      <c r="BG25" s="11"/>
      <c r="BH25" s="11"/>
    </row>
    <row r="26" spans="1:65" x14ac:dyDescent="0.2">
      <c r="A26" s="10"/>
      <c r="B26" s="6"/>
      <c r="C26" s="6"/>
      <c r="D26" s="6"/>
      <c r="E26" s="6"/>
      <c r="F26" s="6"/>
      <c r="G26" s="6"/>
      <c r="H26" s="6"/>
      <c r="I26" s="22"/>
      <c r="AS26" s="11"/>
      <c r="AT26" s="11"/>
      <c r="AU26" s="11"/>
      <c r="AV26" s="11"/>
      <c r="AW26" s="11"/>
      <c r="AX26" s="11"/>
      <c r="AY26" s="11"/>
      <c r="AZ26" s="11"/>
      <c r="BA26" s="11"/>
      <c r="BB26" s="11"/>
      <c r="BC26" s="11"/>
      <c r="BD26" s="11"/>
      <c r="BE26" s="11"/>
      <c r="BF26" s="11"/>
      <c r="BG26" s="11"/>
      <c r="BH26" s="11"/>
    </row>
    <row r="27" spans="1:65" ht="15" x14ac:dyDescent="0.2">
      <c r="A27" s="10"/>
      <c r="B27" s="14" t="s">
        <v>2</v>
      </c>
      <c r="C27" s="14"/>
      <c r="D27" s="14"/>
      <c r="E27" s="15" t="s">
        <v>4</v>
      </c>
      <c r="F27" s="16" t="s">
        <v>7</v>
      </c>
      <c r="G27" s="16" t="s">
        <v>3</v>
      </c>
      <c r="H27" s="16" t="s">
        <v>11</v>
      </c>
      <c r="I27" s="15" t="s">
        <v>34</v>
      </c>
      <c r="AS27" s="11"/>
      <c r="AT27" s="11"/>
      <c r="AU27" s="11"/>
      <c r="AV27" s="11"/>
      <c r="AW27" s="11"/>
      <c r="AX27" s="11"/>
      <c r="AY27" s="11"/>
      <c r="AZ27" s="11"/>
      <c r="BA27" s="11"/>
      <c r="BB27" s="11"/>
      <c r="BC27" s="11"/>
      <c r="BD27" s="11"/>
      <c r="BE27" s="11"/>
      <c r="BF27" s="11"/>
      <c r="BG27" s="11"/>
      <c r="BH27" s="11"/>
    </row>
    <row r="28" spans="1:65" x14ac:dyDescent="0.2">
      <c r="A28" s="10"/>
      <c r="B28" s="14"/>
      <c r="C28" s="14"/>
      <c r="D28" s="14"/>
      <c r="E28" s="15"/>
      <c r="F28" s="16"/>
      <c r="G28" s="16"/>
      <c r="H28" s="16"/>
      <c r="I28" s="15"/>
      <c r="AS28" s="11"/>
      <c r="AT28" s="11"/>
      <c r="AU28" s="11"/>
      <c r="AV28" s="11"/>
      <c r="AW28" s="11"/>
      <c r="AX28" s="11"/>
      <c r="AY28" s="11"/>
      <c r="AZ28" s="11"/>
      <c r="BA28" s="11"/>
      <c r="BB28" s="11"/>
      <c r="BC28" s="11"/>
      <c r="BD28" s="11"/>
      <c r="BE28" s="11"/>
      <c r="BF28" s="11"/>
      <c r="BG28" s="11"/>
      <c r="BH28" s="11"/>
    </row>
    <row r="29" spans="1:65" ht="15" x14ac:dyDescent="0.2">
      <c r="A29" s="10"/>
      <c r="B29" s="362" t="s">
        <v>535</v>
      </c>
      <c r="C29" s="362"/>
      <c r="D29" s="14"/>
      <c r="E29" s="30" t="s">
        <v>536</v>
      </c>
      <c r="F29" s="272">
        <v>5.5</v>
      </c>
      <c r="G29" s="7" t="s">
        <v>14</v>
      </c>
      <c r="H29" s="7" t="s">
        <v>13</v>
      </c>
      <c r="I29" s="15"/>
      <c r="AS29" s="11"/>
      <c r="AT29" s="11"/>
      <c r="AU29" s="11"/>
      <c r="AV29" s="11"/>
      <c r="AW29" s="11"/>
      <c r="AX29" s="11"/>
      <c r="AY29" s="11"/>
      <c r="AZ29" s="11"/>
      <c r="BA29" s="11"/>
      <c r="BB29" s="11"/>
      <c r="BC29" s="11"/>
      <c r="BD29" s="11"/>
      <c r="BE29" s="11"/>
      <c r="BF29" s="11"/>
      <c r="BG29" s="11"/>
      <c r="BH29" s="11"/>
    </row>
    <row r="30" spans="1:65" ht="5.0999999999999996" customHeight="1" x14ac:dyDescent="0.2">
      <c r="A30" s="10"/>
      <c r="B30" s="230"/>
      <c r="C30" s="230"/>
      <c r="D30" s="14"/>
      <c r="E30" s="30"/>
      <c r="F30" s="272"/>
      <c r="G30" s="7"/>
      <c r="H30" s="7"/>
      <c r="I30" s="15"/>
      <c r="AS30" s="11"/>
      <c r="AT30" s="11"/>
      <c r="AU30" s="11"/>
      <c r="AV30" s="11"/>
      <c r="AW30" s="11"/>
      <c r="AX30" s="11"/>
      <c r="AY30" s="11"/>
      <c r="AZ30" s="11"/>
      <c r="BA30" s="11"/>
      <c r="BB30" s="11"/>
      <c r="BC30" s="11"/>
      <c r="BD30" s="11"/>
      <c r="BE30" s="11"/>
      <c r="BF30" s="11"/>
      <c r="BG30" s="11"/>
      <c r="BH30" s="11"/>
    </row>
    <row r="31" spans="1:65" ht="15" x14ac:dyDescent="0.2">
      <c r="A31" s="10"/>
      <c r="B31" s="22" t="s">
        <v>537</v>
      </c>
      <c r="C31" s="230"/>
      <c r="D31" s="14"/>
      <c r="E31" s="30" t="s">
        <v>294</v>
      </c>
      <c r="F31" s="272">
        <v>1.6</v>
      </c>
      <c r="G31" s="7" t="s">
        <v>14</v>
      </c>
      <c r="H31" s="7" t="s">
        <v>13</v>
      </c>
      <c r="I31" s="15"/>
      <c r="AS31" s="11"/>
      <c r="AT31" s="11"/>
      <c r="AU31" s="11"/>
      <c r="AV31" s="11"/>
      <c r="AW31" s="11"/>
      <c r="AX31" s="11"/>
      <c r="AY31" s="11"/>
      <c r="AZ31" s="11"/>
      <c r="BA31" s="11"/>
      <c r="BB31" s="11"/>
      <c r="BC31" s="11"/>
      <c r="BD31" s="11"/>
      <c r="BE31" s="11"/>
      <c r="BF31" s="11"/>
      <c r="BG31" s="11"/>
      <c r="BH31" s="11"/>
    </row>
    <row r="32" spans="1:65" ht="5.0999999999999996" customHeight="1" x14ac:dyDescent="0.2">
      <c r="A32" s="10"/>
      <c r="B32" s="230"/>
      <c r="C32" s="14"/>
      <c r="D32" s="14"/>
      <c r="E32" s="15"/>
      <c r="F32" s="275"/>
      <c r="G32" s="7"/>
      <c r="H32" s="7"/>
      <c r="I32" s="15"/>
      <c r="AS32" s="11"/>
      <c r="AT32" s="11"/>
      <c r="AU32" s="11"/>
      <c r="AV32" s="11"/>
      <c r="AW32" s="11"/>
      <c r="AX32" s="11"/>
      <c r="AY32" s="11"/>
      <c r="AZ32" s="11"/>
      <c r="BA32" s="11"/>
      <c r="BB32" s="11"/>
      <c r="BC32" s="11"/>
      <c r="BD32" s="11"/>
      <c r="BE32" s="11"/>
      <c r="BF32" s="11"/>
      <c r="BG32" s="11"/>
      <c r="BH32" s="11"/>
    </row>
    <row r="33" spans="2:9" s="8" customFormat="1" x14ac:dyDescent="0.2">
      <c r="B33" s="362" t="s">
        <v>72</v>
      </c>
      <c r="C33" s="362"/>
      <c r="D33" s="34"/>
      <c r="E33" s="230" t="s">
        <v>73</v>
      </c>
      <c r="F33" s="273">
        <v>30</v>
      </c>
      <c r="G33" s="7" t="s">
        <v>10</v>
      </c>
      <c r="H33" s="7" t="s">
        <v>13</v>
      </c>
      <c r="I33" s="34"/>
    </row>
    <row r="34" spans="2:9" s="8" customFormat="1" ht="5.0999999999999996" customHeight="1" x14ac:dyDescent="0.2">
      <c r="B34" s="362"/>
      <c r="C34" s="362"/>
      <c r="D34" s="34"/>
      <c r="E34" s="22"/>
      <c r="F34" s="273"/>
      <c r="G34" s="19"/>
      <c r="H34" s="7"/>
      <c r="I34" s="34"/>
    </row>
    <row r="35" spans="2:9" s="8" customFormat="1" ht="39.950000000000003" customHeight="1" x14ac:dyDescent="0.2">
      <c r="B35" s="362" t="s">
        <v>721</v>
      </c>
      <c r="C35" s="362"/>
      <c r="D35" s="34"/>
      <c r="E35" s="22" t="s">
        <v>75</v>
      </c>
      <c r="F35" s="273">
        <v>365</v>
      </c>
      <c r="G35" s="19" t="s">
        <v>10</v>
      </c>
      <c r="H35" s="7" t="s">
        <v>13</v>
      </c>
      <c r="I35" s="146" t="s">
        <v>966</v>
      </c>
    </row>
    <row r="36" spans="2:9" s="8" customFormat="1" ht="5.0999999999999996" customHeight="1" x14ac:dyDescent="0.2">
      <c r="B36" s="362"/>
      <c r="C36" s="362"/>
      <c r="D36" s="34"/>
      <c r="E36" s="22"/>
      <c r="F36" s="273"/>
      <c r="G36" s="19"/>
      <c r="H36" s="7"/>
      <c r="I36" s="34"/>
    </row>
    <row r="37" spans="2:9" s="8" customFormat="1" x14ac:dyDescent="0.2">
      <c r="B37" s="362" t="s">
        <v>675</v>
      </c>
      <c r="C37" s="362"/>
      <c r="D37" s="34"/>
      <c r="E37" s="22" t="s">
        <v>676</v>
      </c>
      <c r="F37" s="273">
        <v>7300</v>
      </c>
      <c r="G37" s="19" t="s">
        <v>10</v>
      </c>
      <c r="H37" s="7" t="s">
        <v>13</v>
      </c>
      <c r="I37" s="92" t="s">
        <v>614</v>
      </c>
    </row>
    <row r="38" spans="2:9" s="8" customFormat="1" ht="5.0999999999999996" customHeight="1" x14ac:dyDescent="0.2">
      <c r="B38" s="230"/>
      <c r="C38" s="230"/>
      <c r="D38" s="230"/>
      <c r="E38" s="30"/>
      <c r="F38" s="273"/>
      <c r="G38" s="7"/>
      <c r="H38" s="7"/>
      <c r="I38" s="7"/>
    </row>
    <row r="39" spans="2:9" s="8" customFormat="1" ht="25.15" customHeight="1" x14ac:dyDescent="0.2">
      <c r="B39" s="362" t="s">
        <v>193</v>
      </c>
      <c r="C39" s="362"/>
      <c r="D39" s="34"/>
      <c r="E39" s="230" t="s">
        <v>194</v>
      </c>
      <c r="F39" s="274"/>
      <c r="G39" s="19" t="s">
        <v>813</v>
      </c>
      <c r="H39" s="19" t="s">
        <v>6</v>
      </c>
      <c r="I39" s="34"/>
    </row>
    <row r="40" spans="2:9" s="8" customFormat="1" ht="5.0999999999999996" customHeight="1" x14ac:dyDescent="0.2">
      <c r="B40" s="362"/>
      <c r="C40" s="362"/>
      <c r="D40" s="34"/>
      <c r="E40" s="22"/>
      <c r="F40" s="273"/>
      <c r="G40" s="19"/>
      <c r="H40" s="19"/>
      <c r="I40" s="34"/>
    </row>
    <row r="41" spans="2:9" s="8" customFormat="1" ht="25.15" customHeight="1" x14ac:dyDescent="0.2">
      <c r="B41" s="362" t="s">
        <v>683</v>
      </c>
      <c r="C41" s="362"/>
      <c r="D41" s="34"/>
      <c r="E41" s="290" t="s">
        <v>196</v>
      </c>
      <c r="F41" s="274"/>
      <c r="G41" s="19" t="s">
        <v>813</v>
      </c>
      <c r="H41" s="19" t="s">
        <v>6</v>
      </c>
      <c r="I41" s="92"/>
    </row>
    <row r="42" spans="2:9" s="8" customFormat="1" ht="5.0999999999999996" customHeight="1" x14ac:dyDescent="0.2">
      <c r="B42" s="362"/>
      <c r="C42" s="362"/>
      <c r="D42" s="34"/>
      <c r="E42" s="22"/>
      <c r="F42" s="273"/>
      <c r="G42" s="19"/>
      <c r="H42" s="19"/>
      <c r="I42" s="34"/>
    </row>
    <row r="43" spans="2:9" s="8" customFormat="1" ht="25.15" customHeight="1" x14ac:dyDescent="0.2">
      <c r="B43" s="362" t="s">
        <v>195</v>
      </c>
      <c r="C43" s="362"/>
      <c r="D43" s="34"/>
      <c r="E43" s="230" t="s">
        <v>684</v>
      </c>
      <c r="F43" s="274"/>
      <c r="G43" s="19" t="s">
        <v>813</v>
      </c>
      <c r="H43" s="19" t="s">
        <v>6</v>
      </c>
      <c r="I43" s="92"/>
    </row>
    <row r="44" spans="2:9" s="8" customFormat="1" ht="5.0999999999999996" customHeight="1" x14ac:dyDescent="0.2">
      <c r="B44" s="230"/>
      <c r="C44" s="230"/>
      <c r="D44" s="34"/>
      <c r="E44" s="22"/>
      <c r="F44" s="273"/>
      <c r="G44" s="19"/>
      <c r="H44" s="7"/>
      <c r="I44" s="34"/>
    </row>
    <row r="45" spans="2:9" s="8" customFormat="1" ht="15" x14ac:dyDescent="0.2">
      <c r="B45" s="230" t="s">
        <v>197</v>
      </c>
      <c r="C45" s="230"/>
      <c r="D45" s="34"/>
      <c r="E45" s="22" t="s">
        <v>23</v>
      </c>
      <c r="F45" s="273">
        <v>2.97</v>
      </c>
      <c r="G45" s="7" t="s">
        <v>24</v>
      </c>
      <c r="H45" s="7" t="s">
        <v>13</v>
      </c>
      <c r="I45" s="107"/>
    </row>
    <row r="46" spans="2:9" s="8" customFormat="1" ht="5.0999999999999996" customHeight="1" x14ac:dyDescent="0.2">
      <c r="B46" s="230"/>
      <c r="C46" s="230"/>
      <c r="D46" s="34"/>
      <c r="E46" s="22"/>
      <c r="F46" s="277"/>
      <c r="G46" s="7"/>
      <c r="H46" s="7"/>
      <c r="I46" s="107"/>
    </row>
    <row r="47" spans="2:9" s="8" customFormat="1" ht="15" x14ac:dyDescent="0.2">
      <c r="B47" s="230" t="s">
        <v>25</v>
      </c>
      <c r="C47" s="230"/>
      <c r="D47" s="34"/>
      <c r="E47" s="22" t="s">
        <v>30</v>
      </c>
      <c r="F47" s="273">
        <v>1700</v>
      </c>
      <c r="G47" s="19" t="s">
        <v>169</v>
      </c>
      <c r="H47" s="7" t="s">
        <v>13</v>
      </c>
      <c r="I47" s="107"/>
    </row>
    <row r="48" spans="2:9" s="8" customFormat="1" x14ac:dyDescent="0.2">
      <c r="B48" s="230"/>
      <c r="C48" s="230"/>
      <c r="D48" s="34"/>
      <c r="E48" s="22"/>
      <c r="F48" s="7"/>
      <c r="G48" s="19"/>
      <c r="H48" s="7"/>
      <c r="I48" s="34"/>
    </row>
    <row r="49" spans="1:60" s="8" customFormat="1" x14ac:dyDescent="0.2">
      <c r="B49" s="365" t="s">
        <v>558</v>
      </c>
      <c r="C49" s="365"/>
      <c r="D49" s="365"/>
      <c r="E49" s="365"/>
      <c r="F49" s="365"/>
      <c r="G49" s="365"/>
      <c r="H49" s="365"/>
      <c r="I49" s="365"/>
    </row>
    <row r="50" spans="1:60" s="8" customFormat="1" x14ac:dyDescent="0.2">
      <c r="B50" s="230"/>
      <c r="C50" s="230"/>
      <c r="D50" s="34"/>
      <c r="E50" s="22"/>
      <c r="F50" s="7"/>
      <c r="G50" s="19"/>
      <c r="H50" s="7"/>
      <c r="I50" s="34"/>
    </row>
    <row r="51" spans="1:60" s="8" customFormat="1" ht="15" x14ac:dyDescent="0.2">
      <c r="B51" s="362" t="s">
        <v>746</v>
      </c>
      <c r="C51" s="362"/>
      <c r="D51" s="34"/>
      <c r="E51" s="22" t="s">
        <v>449</v>
      </c>
      <c r="F51" s="274"/>
      <c r="G51" s="19" t="s">
        <v>483</v>
      </c>
      <c r="H51" s="7" t="s">
        <v>13</v>
      </c>
      <c r="I51" s="34"/>
    </row>
    <row r="52" spans="1:60" s="8" customFormat="1" ht="5.0999999999999996" customHeight="1" x14ac:dyDescent="0.2">
      <c r="B52" s="230"/>
      <c r="C52" s="230"/>
      <c r="D52" s="34"/>
      <c r="E52" s="22"/>
      <c r="F52" s="273"/>
      <c r="G52" s="19"/>
      <c r="H52" s="7"/>
      <c r="I52" s="34"/>
    </row>
    <row r="53" spans="1:60" s="8" customFormat="1" ht="15" x14ac:dyDescent="0.2">
      <c r="B53" s="362" t="s">
        <v>442</v>
      </c>
      <c r="C53" s="362"/>
      <c r="D53" s="34"/>
      <c r="E53" s="22" t="s">
        <v>653</v>
      </c>
      <c r="F53" s="326"/>
      <c r="G53" s="19" t="s">
        <v>443</v>
      </c>
      <c r="H53" s="7" t="s">
        <v>13</v>
      </c>
      <c r="I53" s="151"/>
    </row>
    <row r="54" spans="1:60" s="8" customFormat="1" x14ac:dyDescent="0.2">
      <c r="B54" s="230"/>
      <c r="C54" s="230"/>
      <c r="D54" s="34"/>
      <c r="E54" s="22"/>
      <c r="F54" s="7"/>
      <c r="G54" s="19"/>
      <c r="H54" s="7"/>
      <c r="I54" s="34"/>
    </row>
    <row r="55" spans="1:60" ht="15" x14ac:dyDescent="0.2">
      <c r="A55" s="10"/>
      <c r="B55" s="4" t="s">
        <v>1</v>
      </c>
      <c r="C55" s="4"/>
      <c r="D55" s="4"/>
      <c r="E55" s="4"/>
      <c r="F55" s="12"/>
      <c r="G55" s="12"/>
      <c r="H55" s="12"/>
      <c r="I55" s="12"/>
      <c r="AT55" s="11"/>
      <c r="AU55" s="11"/>
      <c r="AV55" s="11"/>
      <c r="AW55" s="11"/>
      <c r="AX55" s="11"/>
      <c r="AY55" s="11"/>
      <c r="AZ55" s="11"/>
      <c r="BA55" s="11"/>
      <c r="BB55" s="11"/>
      <c r="BC55" s="11"/>
      <c r="BD55" s="11"/>
      <c r="BE55" s="11"/>
      <c r="BF55" s="11"/>
      <c r="BG55" s="11"/>
      <c r="BH55" s="11"/>
    </row>
    <row r="56" spans="1:60" x14ac:dyDescent="0.2">
      <c r="A56" s="10"/>
      <c r="B56" s="6"/>
      <c r="C56" s="6"/>
      <c r="D56" s="6"/>
      <c r="E56" s="6"/>
      <c r="F56" s="6"/>
      <c r="G56" s="6"/>
      <c r="H56" s="6"/>
      <c r="I56" s="6"/>
      <c r="AT56" s="11"/>
      <c r="AU56" s="11"/>
      <c r="AV56" s="11"/>
      <c r="AW56" s="11"/>
      <c r="AX56" s="11"/>
      <c r="AY56" s="11"/>
      <c r="AZ56" s="11"/>
      <c r="BA56" s="11"/>
      <c r="BB56" s="11"/>
      <c r="BC56" s="11"/>
      <c r="BD56" s="11"/>
      <c r="BE56" s="11"/>
      <c r="BF56" s="11"/>
      <c r="BG56" s="11"/>
      <c r="BH56" s="11"/>
    </row>
    <row r="57" spans="1:60" ht="15" x14ac:dyDescent="0.2">
      <c r="A57" s="10"/>
      <c r="B57" s="14" t="s">
        <v>2</v>
      </c>
      <c r="C57" s="14"/>
      <c r="D57" s="14"/>
      <c r="E57" s="15" t="s">
        <v>4</v>
      </c>
      <c r="F57" s="16" t="s">
        <v>7</v>
      </c>
      <c r="G57" s="16" t="s">
        <v>3</v>
      </c>
      <c r="H57" s="16" t="s">
        <v>11</v>
      </c>
      <c r="I57" s="15" t="s">
        <v>34</v>
      </c>
      <c r="AT57" s="11"/>
      <c r="AU57" s="11"/>
      <c r="AV57" s="11"/>
      <c r="AW57" s="11"/>
      <c r="AX57" s="11"/>
      <c r="AY57" s="11"/>
      <c r="AZ57" s="11"/>
      <c r="BA57" s="11"/>
      <c r="BB57" s="11"/>
      <c r="BC57" s="11"/>
      <c r="BD57" s="11"/>
      <c r="BE57" s="11"/>
      <c r="BF57" s="11"/>
      <c r="BG57" s="11"/>
      <c r="BH57" s="11"/>
    </row>
    <row r="58" spans="1:60" x14ac:dyDescent="0.2">
      <c r="A58" s="10"/>
      <c r="B58" s="14"/>
      <c r="C58" s="14"/>
      <c r="D58" s="14"/>
      <c r="E58" s="15"/>
      <c r="F58" s="16"/>
      <c r="G58" s="16"/>
      <c r="H58" s="16"/>
      <c r="I58" s="15"/>
      <c r="AT58" s="11"/>
      <c r="AU58" s="11"/>
      <c r="AV58" s="11"/>
      <c r="AW58" s="11"/>
      <c r="AX58" s="11"/>
      <c r="AY58" s="11"/>
      <c r="AZ58" s="11"/>
      <c r="BA58" s="11"/>
      <c r="BB58" s="11"/>
      <c r="BC58" s="11"/>
      <c r="BD58" s="11"/>
      <c r="BE58" s="11"/>
      <c r="BF58" s="11"/>
      <c r="BG58" s="11"/>
      <c r="BH58" s="11"/>
    </row>
    <row r="59" spans="1:60" s="8" customFormat="1" ht="15.75" x14ac:dyDescent="0.2">
      <c r="A59" s="10"/>
      <c r="B59" s="362" t="s">
        <v>198</v>
      </c>
      <c r="C59" s="362"/>
      <c r="D59" s="30"/>
      <c r="E59" s="30" t="s">
        <v>202</v>
      </c>
      <c r="F59" s="228" t="str">
        <f>IF(ISNUMBER(Q_leach_TIME1_Tpole),(AREApole_above+AREApole_below)*Q_leach_TIME1_Tpole,"??")</f>
        <v>??</v>
      </c>
      <c r="G59" s="19" t="s">
        <v>794</v>
      </c>
      <c r="H59" s="19" t="s">
        <v>8</v>
      </c>
      <c r="I59" s="232" t="s">
        <v>538</v>
      </c>
    </row>
    <row r="60" spans="1:60" s="8" customFormat="1" ht="5.0999999999999996" customHeight="1" x14ac:dyDescent="0.2">
      <c r="A60" s="10"/>
      <c r="B60" s="290"/>
      <c r="C60" s="290"/>
      <c r="D60" s="290"/>
      <c r="E60" s="30"/>
      <c r="F60" s="30"/>
      <c r="G60" s="19"/>
      <c r="H60" s="19"/>
      <c r="I60" s="20"/>
    </row>
    <row r="61" spans="1:60" s="8" customFormat="1" ht="27" customHeight="1" x14ac:dyDescent="0.2">
      <c r="A61" s="10"/>
      <c r="B61" s="362" t="s">
        <v>703</v>
      </c>
      <c r="C61" s="362"/>
      <c r="D61" s="30"/>
      <c r="E61" s="30" t="s">
        <v>203</v>
      </c>
      <c r="F61" s="228" t="str">
        <f>IF(ISNUMBER(Q_leach_TIME2_Tpole),(AREApole_above+AREApole_below)*Q_leach_TIME2_Tpole,"??")</f>
        <v>??</v>
      </c>
      <c r="G61" s="19" t="s">
        <v>794</v>
      </c>
      <c r="H61" s="19" t="s">
        <v>8</v>
      </c>
      <c r="I61" s="292" t="s">
        <v>539</v>
      </c>
    </row>
    <row r="62" spans="1:60" s="8" customFormat="1" ht="5.0999999999999996" customHeight="1" x14ac:dyDescent="0.2">
      <c r="A62" s="10"/>
      <c r="B62" s="230"/>
      <c r="C62" s="230"/>
      <c r="D62" s="230"/>
      <c r="E62" s="30"/>
      <c r="F62" s="30"/>
      <c r="G62" s="19"/>
      <c r="H62" s="19"/>
      <c r="I62" s="20"/>
    </row>
    <row r="63" spans="1:60" s="8" customFormat="1" ht="15.75" x14ac:dyDescent="0.2">
      <c r="A63" s="10"/>
      <c r="B63" s="362" t="s">
        <v>199</v>
      </c>
      <c r="C63" s="362"/>
      <c r="D63" s="30"/>
      <c r="E63" s="30" t="s">
        <v>678</v>
      </c>
      <c r="F63" s="228" t="str">
        <f>IF(ISNUMBER(Q_leach_TIME3_Tpole),(AREApole_above+AREApole_below)*Q_leach_TIME3_Tpole,"??")</f>
        <v>??</v>
      </c>
      <c r="G63" s="19" t="s">
        <v>794</v>
      </c>
      <c r="H63" s="19" t="s">
        <v>8</v>
      </c>
      <c r="I63" s="232" t="s">
        <v>722</v>
      </c>
    </row>
    <row r="64" spans="1:60" x14ac:dyDescent="0.2">
      <c r="A64" s="10"/>
      <c r="B64" s="14"/>
      <c r="C64" s="14"/>
      <c r="D64" s="14"/>
      <c r="E64" s="15"/>
      <c r="F64" s="16"/>
      <c r="G64" s="16"/>
      <c r="H64" s="16"/>
      <c r="I64" s="15"/>
      <c r="AT64" s="11"/>
      <c r="AU64" s="11"/>
      <c r="AV64" s="11"/>
      <c r="AW64" s="11"/>
      <c r="AX64" s="11"/>
      <c r="AY64" s="11"/>
      <c r="AZ64" s="11"/>
      <c r="BA64" s="11"/>
      <c r="BB64" s="11"/>
      <c r="BC64" s="11"/>
      <c r="BD64" s="11"/>
      <c r="BE64" s="11"/>
      <c r="BF64" s="11"/>
      <c r="BG64" s="11"/>
      <c r="BH64" s="11"/>
    </row>
    <row r="65" spans="1:66" s="8" customFormat="1" ht="27" customHeight="1" x14ac:dyDescent="0.2">
      <c r="A65" s="10"/>
      <c r="B65" s="363" t="s">
        <v>491</v>
      </c>
      <c r="C65" s="363"/>
      <c r="D65" s="167"/>
      <c r="E65" s="167" t="s">
        <v>540</v>
      </c>
      <c r="F65" s="228" t="str">
        <f>IF(ISNUMBER(Q_leach_TIME1_Tpole),(AREApole_above+AREApole_below)*Q_leach_TIME1_Tpole/TIME1_Tpole,"??")</f>
        <v>??</v>
      </c>
      <c r="G65" s="19" t="s">
        <v>814</v>
      </c>
      <c r="H65" s="19" t="s">
        <v>8</v>
      </c>
      <c r="I65" s="146" t="s">
        <v>542</v>
      </c>
    </row>
    <row r="66" spans="1:66" s="8" customFormat="1" ht="5.0999999999999996" customHeight="1" x14ac:dyDescent="0.2">
      <c r="A66" s="10"/>
      <c r="B66" s="293"/>
      <c r="C66" s="293"/>
      <c r="D66" s="293"/>
      <c r="E66" s="167"/>
      <c r="F66" s="198"/>
      <c r="G66" s="19"/>
      <c r="H66" s="19"/>
      <c r="I66" s="146"/>
    </row>
    <row r="67" spans="1:66" s="8" customFormat="1" ht="29.25" customHeight="1" x14ac:dyDescent="0.2">
      <c r="A67" s="10"/>
      <c r="B67" s="363" t="s">
        <v>704</v>
      </c>
      <c r="C67" s="363"/>
      <c r="D67" s="293"/>
      <c r="E67" s="167" t="s">
        <v>541</v>
      </c>
      <c r="F67" s="228" t="str">
        <f>IF(ISNUMBER(Q_leach_TIME2_Tpole),(AREApole_above+AREApole_below)*Q_leach_TIME2_Tpole/TIME2_Tpole,"??")</f>
        <v>??</v>
      </c>
      <c r="G67" s="19" t="s">
        <v>814</v>
      </c>
      <c r="H67" s="19" t="s">
        <v>8</v>
      </c>
      <c r="I67" s="146" t="s">
        <v>543</v>
      </c>
    </row>
    <row r="68" spans="1:66" s="8" customFormat="1" ht="5.0999999999999996" customHeight="1" x14ac:dyDescent="0.2">
      <c r="A68" s="10"/>
      <c r="B68" s="233"/>
      <c r="C68" s="233"/>
      <c r="D68" s="233"/>
      <c r="E68" s="167"/>
      <c r="F68" s="198"/>
      <c r="G68" s="19"/>
      <c r="H68" s="19"/>
      <c r="I68" s="146"/>
    </row>
    <row r="69" spans="1:66" s="8" customFormat="1" ht="29.25" customHeight="1" x14ac:dyDescent="0.2">
      <c r="A69" s="10"/>
      <c r="B69" s="363" t="s">
        <v>492</v>
      </c>
      <c r="C69" s="363"/>
      <c r="D69" s="233"/>
      <c r="E69" s="167" t="s">
        <v>724</v>
      </c>
      <c r="F69" s="228" t="str">
        <f>IF(ISNUMBER(Q_leach_TIME3_Tpole),(AREApole_above+AREApole_below)*Q_leach_TIME3_Tpole/TIME3_Tpole,"??")</f>
        <v>??</v>
      </c>
      <c r="G69" s="19" t="s">
        <v>814</v>
      </c>
      <c r="H69" s="19" t="s">
        <v>8</v>
      </c>
      <c r="I69" s="146" t="s">
        <v>725</v>
      </c>
    </row>
    <row r="70" spans="1:66" x14ac:dyDescent="0.2">
      <c r="A70" s="10"/>
      <c r="B70" s="14"/>
      <c r="C70" s="14"/>
      <c r="D70" s="14"/>
      <c r="E70" s="15"/>
      <c r="F70" s="16"/>
      <c r="G70" s="16"/>
      <c r="H70" s="16"/>
      <c r="I70" s="15"/>
      <c r="AT70" s="11"/>
      <c r="AU70" s="11"/>
      <c r="AV70" s="11"/>
      <c r="AW70" s="11"/>
      <c r="AX70" s="11"/>
      <c r="AY70" s="11"/>
      <c r="AZ70" s="11"/>
      <c r="BA70" s="11"/>
      <c r="BB70" s="11"/>
      <c r="BC70" s="11"/>
      <c r="BD70" s="11"/>
      <c r="BE70" s="11"/>
      <c r="BF70" s="11"/>
      <c r="BG70" s="11"/>
      <c r="BH70" s="11"/>
    </row>
    <row r="71" spans="1:66" ht="15" x14ac:dyDescent="0.2">
      <c r="A71" s="10"/>
      <c r="B71" s="382" t="s">
        <v>532</v>
      </c>
      <c r="C71" s="382"/>
      <c r="D71" s="382"/>
      <c r="E71" s="382"/>
      <c r="F71" s="382"/>
      <c r="G71" s="382"/>
      <c r="H71" s="382"/>
      <c r="I71" s="382"/>
      <c r="AT71" s="11"/>
      <c r="AU71" s="11"/>
      <c r="AV71" s="11"/>
      <c r="AW71" s="11"/>
      <c r="AX71" s="11"/>
      <c r="AY71" s="11"/>
      <c r="AZ71" s="11"/>
      <c r="BA71" s="11"/>
      <c r="BB71" s="11"/>
      <c r="BC71" s="11"/>
      <c r="BD71" s="11"/>
      <c r="BE71" s="11"/>
      <c r="BF71" s="11"/>
      <c r="BG71" s="11"/>
      <c r="BH71" s="11"/>
    </row>
    <row r="72" spans="1:66" x14ac:dyDescent="0.2">
      <c r="A72" s="10"/>
      <c r="B72" s="14"/>
      <c r="C72" s="14"/>
      <c r="D72" s="14"/>
      <c r="E72" s="15"/>
      <c r="F72" s="16"/>
      <c r="G72" s="16"/>
      <c r="H72" s="16"/>
      <c r="I72" s="15"/>
      <c r="AT72" s="11"/>
      <c r="AU72" s="11"/>
      <c r="AV72" s="11"/>
      <c r="AW72" s="11"/>
      <c r="AX72" s="11"/>
      <c r="AY72" s="11"/>
      <c r="AZ72" s="11"/>
      <c r="BA72" s="11"/>
      <c r="BB72" s="11"/>
      <c r="BC72" s="11"/>
      <c r="BD72" s="11"/>
      <c r="BE72" s="11"/>
      <c r="BF72" s="11"/>
      <c r="BG72" s="11"/>
      <c r="BH72" s="11"/>
    </row>
    <row r="73" spans="1:66" s="8" customFormat="1" ht="15" x14ac:dyDescent="0.2">
      <c r="A73" s="10"/>
      <c r="B73" s="362" t="s">
        <v>200</v>
      </c>
      <c r="C73" s="362"/>
      <c r="D73" s="30"/>
      <c r="E73" s="30" t="s">
        <v>204</v>
      </c>
      <c r="F73" s="228" t="str">
        <f>IF(ISNUMBER(QleachTIME1_Tpole),QleachTIME1_Tpole/(Vsoil_Tpole*RHOsoil_Tpole),"??")</f>
        <v>??</v>
      </c>
      <c r="G73" s="19" t="s">
        <v>807</v>
      </c>
      <c r="H73" s="19" t="s">
        <v>8</v>
      </c>
      <c r="I73" s="20" t="s">
        <v>297</v>
      </c>
    </row>
    <row r="74" spans="1:66" s="8" customFormat="1" ht="5.0999999999999996" customHeight="1" x14ac:dyDescent="0.2">
      <c r="A74" s="10"/>
      <c r="B74" s="290"/>
      <c r="C74" s="290"/>
      <c r="D74" s="290"/>
      <c r="E74" s="30"/>
      <c r="F74" s="30"/>
      <c r="G74" s="19"/>
      <c r="H74" s="19"/>
      <c r="I74" s="20"/>
    </row>
    <row r="75" spans="1:66" s="8" customFormat="1" ht="24.95" customHeight="1" x14ac:dyDescent="0.2">
      <c r="A75" s="10"/>
      <c r="B75" s="362" t="s">
        <v>682</v>
      </c>
      <c r="C75" s="362"/>
      <c r="D75" s="30"/>
      <c r="E75" s="30" t="s">
        <v>205</v>
      </c>
      <c r="F75" s="228" t="str">
        <f>IF(ISNUMBER(QleachTIME2_Tpole),QleachTIME2_Tpole/(Vsoil_Tpole*RHOsoil_Tpole),"??")</f>
        <v>??</v>
      </c>
      <c r="G75" s="19" t="s">
        <v>807</v>
      </c>
      <c r="H75" s="19" t="s">
        <v>8</v>
      </c>
      <c r="I75" s="20" t="s">
        <v>298</v>
      </c>
    </row>
    <row r="76" spans="1:66" s="8" customFormat="1" ht="5.0999999999999996" customHeight="1" x14ac:dyDescent="0.2">
      <c r="A76" s="10"/>
      <c r="B76" s="230"/>
      <c r="C76" s="230"/>
      <c r="D76" s="230"/>
      <c r="E76" s="30"/>
      <c r="F76" s="30"/>
      <c r="G76" s="19"/>
      <c r="H76" s="19"/>
      <c r="I76" s="20"/>
    </row>
    <row r="77" spans="1:66" s="8" customFormat="1" ht="15" x14ac:dyDescent="0.2">
      <c r="A77" s="10"/>
      <c r="B77" s="362" t="s">
        <v>201</v>
      </c>
      <c r="C77" s="362"/>
      <c r="D77" s="30"/>
      <c r="E77" s="30" t="s">
        <v>681</v>
      </c>
      <c r="F77" s="228" t="str">
        <f>IF(ISNUMBER(QleachTIME3_Tpole),QleachTIME3_Tpole/(Vsoil_Tpole*RHOsoil_Tpole),"??")</f>
        <v>??</v>
      </c>
      <c r="G77" s="19" t="s">
        <v>807</v>
      </c>
      <c r="H77" s="19" t="s">
        <v>8</v>
      </c>
      <c r="I77" s="20" t="s">
        <v>723</v>
      </c>
    </row>
    <row r="78" spans="1:66" s="8" customFormat="1" x14ac:dyDescent="0.2">
      <c r="A78" s="10"/>
      <c r="B78" s="230"/>
      <c r="C78" s="230"/>
      <c r="D78" s="230"/>
      <c r="E78" s="30"/>
      <c r="F78" s="16"/>
      <c r="G78" s="7"/>
      <c r="H78" s="7"/>
      <c r="I78" s="20"/>
    </row>
    <row r="79" spans="1:66" s="8" customFormat="1" ht="15" x14ac:dyDescent="0.2">
      <c r="A79" s="10"/>
      <c r="B79" s="382" t="s">
        <v>559</v>
      </c>
      <c r="C79" s="382"/>
      <c r="D79" s="382"/>
      <c r="E79" s="382"/>
      <c r="F79" s="382"/>
      <c r="G79" s="382"/>
      <c r="H79" s="382"/>
      <c r="I79" s="382"/>
      <c r="J79" s="170"/>
      <c r="AT79" s="10"/>
      <c r="AU79" s="10"/>
      <c r="AV79" s="10"/>
      <c r="AW79" s="10"/>
      <c r="AX79" s="10"/>
      <c r="AY79" s="10"/>
      <c r="AZ79" s="10"/>
      <c r="BA79" s="10"/>
      <c r="BB79" s="10"/>
      <c r="BC79" s="10"/>
      <c r="BD79" s="10"/>
      <c r="BE79" s="10"/>
      <c r="BF79" s="10"/>
      <c r="BG79" s="10"/>
      <c r="BH79" s="10"/>
      <c r="BI79" s="10"/>
      <c r="BJ79" s="10"/>
      <c r="BK79" s="10"/>
      <c r="BL79" s="10"/>
      <c r="BM79" s="10"/>
      <c r="BN79" s="10"/>
    </row>
    <row r="80" spans="1:66" s="8" customFormat="1" x14ac:dyDescent="0.2">
      <c r="A80" s="10"/>
      <c r="B80" s="232"/>
      <c r="C80" s="232"/>
      <c r="D80" s="232"/>
      <c r="E80" s="232"/>
      <c r="F80" s="232"/>
      <c r="G80" s="7"/>
      <c r="H80" s="7"/>
      <c r="I80" s="20"/>
    </row>
    <row r="81" spans="1:9" s="8" customFormat="1" ht="30" x14ac:dyDescent="0.2">
      <c r="A81" s="10"/>
      <c r="B81" s="362" t="s">
        <v>562</v>
      </c>
      <c r="C81" s="362"/>
      <c r="D81" s="246"/>
      <c r="E81" s="30" t="s">
        <v>454</v>
      </c>
      <c r="F81" s="228" t="str">
        <f>IF(AND(ISNUMBER(Esoil_leach_TIME1_Tpole),ISNUMBER(ksoil_Tpole)),Esoil_leach_TIME1_Tpole/(Vsoil_Tpole*RHOsoil_Tpole*ksoil_Tpole)-(Esoil_leach_TIME1_Tpole/(Vsoil_Tpole*RHOsoil_Tpole*ksoil_Tpole))*EXP(-TIME1_Tpole*ksoil_Tpole),"??")</f>
        <v>??</v>
      </c>
      <c r="G81" s="19" t="s">
        <v>807</v>
      </c>
      <c r="H81" s="19" t="s">
        <v>8</v>
      </c>
      <c r="I81" s="146" t="s">
        <v>833</v>
      </c>
    </row>
    <row r="82" spans="1:9" s="8" customFormat="1" ht="5.0999999999999996" customHeight="1" x14ac:dyDescent="0.2">
      <c r="A82" s="10"/>
      <c r="B82" s="290"/>
      <c r="C82" s="290"/>
      <c r="D82" s="290"/>
      <c r="E82" s="30"/>
      <c r="F82" s="292"/>
      <c r="G82" s="19"/>
      <c r="H82" s="19"/>
      <c r="I82" s="146"/>
    </row>
    <row r="83" spans="1:9" s="8" customFormat="1" ht="30" x14ac:dyDescent="0.2">
      <c r="A83" s="10"/>
      <c r="B83" s="362" t="s">
        <v>728</v>
      </c>
      <c r="C83" s="362"/>
      <c r="D83" s="290"/>
      <c r="E83" s="30" t="s">
        <v>455</v>
      </c>
      <c r="F83" s="228" t="str">
        <f>IF(AND(ISNUMBER(Esoil_leach_TIME2_Tpole),ISNUMBER(ksoil_Tpole)),Esoil_leach_TIME2_Tpole/(Vsoil_Tpole*RHOsoil_Tpole*ksoil_Tpole)-(Esoil_leach_TIME2_Tpole/(Vsoil_Tpole*RHOsoil_Tpole*ksoil_Tpole))*EXP(-TIME2_Tpole*ksoil_Tpole),"??")</f>
        <v>??</v>
      </c>
      <c r="G83" s="19" t="s">
        <v>807</v>
      </c>
      <c r="H83" s="19" t="s">
        <v>8</v>
      </c>
      <c r="I83" s="146" t="s">
        <v>834</v>
      </c>
    </row>
    <row r="84" spans="1:9" s="8" customFormat="1" ht="5.0999999999999996" customHeight="1" x14ac:dyDescent="0.2">
      <c r="A84" s="10"/>
      <c r="B84" s="246"/>
      <c r="C84" s="246"/>
      <c r="D84" s="246"/>
      <c r="E84" s="30"/>
      <c r="F84" s="247"/>
      <c r="G84" s="19"/>
      <c r="H84" s="19"/>
      <c r="I84" s="146"/>
    </row>
    <row r="85" spans="1:9" s="8" customFormat="1" ht="30" x14ac:dyDescent="0.2">
      <c r="A85" s="10"/>
      <c r="B85" s="362" t="s">
        <v>563</v>
      </c>
      <c r="C85" s="362"/>
      <c r="D85" s="246"/>
      <c r="E85" s="30" t="s">
        <v>691</v>
      </c>
      <c r="F85" s="228" t="str">
        <f>IF(AND(ISNUMBER(Esoil_leach_TIME3_Tpole),ISNUMBER(ksoil_Tpole)),Esoil_leach_TIME3_Tpole/(Vsoil_Tpole*RHOsoil_Tpole*ksoil_Tpole)-(Esoil_leach_TIME3_Tpole/(Vsoil_Tpole*RHOsoil_Tpole*ksoil_Tpole))*EXP(-TIME3_Tpole*ksoil_Tpole),"??")</f>
        <v>??</v>
      </c>
      <c r="G85" s="19" t="s">
        <v>807</v>
      </c>
      <c r="H85" s="19" t="s">
        <v>8</v>
      </c>
      <c r="I85" s="146" t="s">
        <v>701</v>
      </c>
    </row>
    <row r="86" spans="1:9" s="8" customFormat="1" ht="5.0999999999999996" customHeight="1" x14ac:dyDescent="0.2">
      <c r="A86" s="10"/>
      <c r="B86" s="246"/>
      <c r="C86" s="246"/>
      <c r="D86" s="246"/>
      <c r="E86" s="30"/>
      <c r="F86" s="247"/>
      <c r="G86" s="19"/>
      <c r="H86" s="19"/>
      <c r="I86" s="146"/>
    </row>
    <row r="87" spans="1:9" s="8" customFormat="1" ht="15" x14ac:dyDescent="0.2">
      <c r="A87" s="10"/>
      <c r="B87" s="362" t="s">
        <v>560</v>
      </c>
      <c r="C87" s="362"/>
      <c r="D87" s="246"/>
      <c r="E87" s="30" t="s">
        <v>456</v>
      </c>
      <c r="F87" s="228" t="str">
        <f>IF(AND(ISNUMBER(Clocal_soil_TIME1_Tpole),ISNUMBER(Ksoil_water_Tpole)),Clocal_soil_TIME1_Tpole*RHOsoil_Tpole*0.001/Ksoil_water_Tpole,"??")</f>
        <v>??</v>
      </c>
      <c r="G87" s="19" t="s">
        <v>810</v>
      </c>
      <c r="H87" s="19" t="s">
        <v>8</v>
      </c>
      <c r="I87" s="146" t="s">
        <v>830</v>
      </c>
    </row>
    <row r="88" spans="1:9" s="8" customFormat="1" ht="5.0999999999999996" customHeight="1" x14ac:dyDescent="0.2">
      <c r="A88" s="10"/>
      <c r="B88" s="290"/>
      <c r="C88" s="290"/>
      <c r="D88" s="290"/>
      <c r="E88" s="30"/>
      <c r="F88" s="292"/>
      <c r="G88" s="19"/>
      <c r="H88" s="19"/>
      <c r="I88" s="146"/>
    </row>
    <row r="89" spans="1:9" s="8" customFormat="1" ht="15" x14ac:dyDescent="0.2">
      <c r="A89" s="10"/>
      <c r="B89" s="362" t="s">
        <v>693</v>
      </c>
      <c r="C89" s="362"/>
      <c r="D89" s="290"/>
      <c r="E89" s="30" t="s">
        <v>457</v>
      </c>
      <c r="F89" s="228" t="str">
        <f>IF(AND(ISNUMBER(Clocal_soil_TIME2_Tpole),ISNUMBER(Ksoil_water_Tpole)),Clocal_soil_TIME2_Tpole*RHOsoil_Tpole*0.001/Ksoil_water_Tpole,"??")</f>
        <v>??</v>
      </c>
      <c r="G89" s="19" t="s">
        <v>810</v>
      </c>
      <c r="H89" s="19" t="s">
        <v>8</v>
      </c>
      <c r="I89" s="146" t="s">
        <v>831</v>
      </c>
    </row>
    <row r="90" spans="1:9" s="8" customFormat="1" ht="5.0999999999999996" customHeight="1" x14ac:dyDescent="0.2">
      <c r="A90" s="10"/>
      <c r="B90" s="246"/>
      <c r="C90" s="246"/>
      <c r="D90" s="246"/>
      <c r="E90" s="30"/>
      <c r="F90" s="247"/>
      <c r="G90" s="7"/>
      <c r="H90" s="7"/>
      <c r="I90" s="146"/>
    </row>
    <row r="91" spans="1:9" s="8" customFormat="1" ht="15" x14ac:dyDescent="0.2">
      <c r="A91" s="10"/>
      <c r="B91" s="362" t="s">
        <v>561</v>
      </c>
      <c r="C91" s="362"/>
      <c r="D91" s="246"/>
      <c r="E91" s="30" t="s">
        <v>692</v>
      </c>
      <c r="F91" s="228" t="str">
        <f>IF(AND(ISNUMBER(Clocal_soil_TIME3_Tpole),ISNUMBER(Ksoil_water_Tpole)),Clocal_soil_TIME3_Tpole*RHOsoil_Tpole*0.001/Ksoil_water_Tpole,"??")</f>
        <v>??</v>
      </c>
      <c r="G91" s="19" t="s">
        <v>810</v>
      </c>
      <c r="H91" s="19" t="s">
        <v>8</v>
      </c>
      <c r="I91" s="146" t="s">
        <v>832</v>
      </c>
    </row>
    <row r="92" spans="1:9" s="8" customFormat="1" x14ac:dyDescent="0.2">
      <c r="A92" s="10"/>
      <c r="B92" s="241"/>
      <c r="C92" s="241"/>
      <c r="D92" s="246"/>
      <c r="E92" s="30"/>
      <c r="F92" s="30"/>
      <c r="G92" s="19"/>
      <c r="H92" s="19"/>
      <c r="I92" s="146"/>
    </row>
    <row r="93" spans="1:9" s="8" customFormat="1" x14ac:dyDescent="0.2">
      <c r="B93" s="86" t="s">
        <v>12</v>
      </c>
      <c r="C93" s="86"/>
      <c r="F93" s="87"/>
      <c r="G93" s="88"/>
      <c r="H93" s="74"/>
      <c r="I93" s="85"/>
    </row>
    <row r="94" spans="1:9" s="8" customFormat="1" x14ac:dyDescent="0.2">
      <c r="B94" s="86"/>
      <c r="C94" s="86"/>
      <c r="F94" s="87"/>
      <c r="G94" s="88"/>
      <c r="H94" s="74"/>
      <c r="I94" s="85"/>
    </row>
    <row r="95" spans="1:9" s="73" customFormat="1" collapsed="1" x14ac:dyDescent="0.2">
      <c r="B95" s="354" t="s">
        <v>818</v>
      </c>
      <c r="C95" s="115"/>
      <c r="G95" s="94"/>
      <c r="I95" s="94"/>
    </row>
    <row r="96" spans="1:9" s="73" customFormat="1" x14ac:dyDescent="0.2">
      <c r="D96" s="33"/>
      <c r="E96" s="40"/>
    </row>
    <row r="97" spans="1:65" s="73" customFormat="1" x14ac:dyDescent="0.2">
      <c r="D97" s="33"/>
      <c r="E97" s="40"/>
    </row>
    <row r="98" spans="1:65" ht="15" x14ac:dyDescent="0.2">
      <c r="A98" s="10"/>
      <c r="B98" s="201" t="s">
        <v>620</v>
      </c>
      <c r="C98" s="80"/>
      <c r="D98" s="81"/>
      <c r="E98" s="81"/>
      <c r="F98" s="10"/>
      <c r="G98" s="10"/>
      <c r="H98" s="10"/>
      <c r="I98" s="10"/>
      <c r="J98" s="10"/>
      <c r="K98" s="10"/>
      <c r="BH98" s="11"/>
    </row>
    <row r="99" spans="1:65" ht="15" x14ac:dyDescent="0.2">
      <c r="A99" s="10"/>
      <c r="B99" s="73"/>
      <c r="C99" s="18"/>
      <c r="D99" s="31"/>
      <c r="E99" s="31"/>
      <c r="F99" s="31"/>
      <c r="G99" s="31"/>
      <c r="H99" s="31"/>
      <c r="I99" s="31"/>
      <c r="J99" s="10"/>
      <c r="K99" s="10"/>
      <c r="L99" s="10"/>
      <c r="M99" s="10"/>
      <c r="BI99" s="8"/>
    </row>
    <row r="100" spans="1:65" x14ac:dyDescent="0.2">
      <c r="A100" s="10"/>
      <c r="B100" s="82" t="s">
        <v>19</v>
      </c>
      <c r="C100" s="82"/>
      <c r="D100" s="82"/>
      <c r="E100" s="77"/>
      <c r="F100" s="77"/>
      <c r="G100" s="77"/>
      <c r="H100" s="77"/>
      <c r="I100" s="83"/>
      <c r="AS100" s="11"/>
      <c r="AT100" s="11"/>
      <c r="AU100" s="11"/>
      <c r="AV100" s="11"/>
      <c r="AW100" s="11"/>
      <c r="AX100" s="11"/>
      <c r="AY100" s="11"/>
      <c r="AZ100" s="11"/>
      <c r="BA100" s="11"/>
      <c r="BB100" s="11"/>
      <c r="BC100" s="11"/>
      <c r="BD100" s="11"/>
      <c r="BE100" s="11"/>
      <c r="BF100" s="11"/>
      <c r="BG100" s="11"/>
      <c r="BH100" s="11"/>
    </row>
    <row r="101" spans="1:65" x14ac:dyDescent="0.2">
      <c r="A101" s="10"/>
      <c r="B101" s="366" t="s">
        <v>969</v>
      </c>
      <c r="C101" s="366"/>
      <c r="D101" s="366"/>
      <c r="E101" s="366"/>
      <c r="F101" s="366"/>
      <c r="G101" s="366"/>
      <c r="H101" s="366"/>
      <c r="I101" s="366"/>
      <c r="AS101" s="11"/>
      <c r="AT101" s="11"/>
      <c r="AU101" s="11"/>
      <c r="AV101" s="11"/>
      <c r="AW101" s="11"/>
      <c r="AX101" s="11"/>
      <c r="AY101" s="11"/>
      <c r="AZ101" s="11"/>
      <c r="BA101" s="11"/>
      <c r="BB101" s="11"/>
      <c r="BC101" s="11"/>
      <c r="BD101" s="11"/>
      <c r="BE101" s="11"/>
      <c r="BF101" s="11"/>
      <c r="BG101" s="11"/>
      <c r="BH101" s="11"/>
    </row>
    <row r="102" spans="1:65" x14ac:dyDescent="0.2">
      <c r="A102" s="10"/>
      <c r="B102" s="387" t="s">
        <v>968</v>
      </c>
      <c r="C102" s="387"/>
      <c r="D102" s="387"/>
      <c r="E102" s="387"/>
      <c r="F102" s="387"/>
      <c r="G102" s="387"/>
      <c r="H102" s="387"/>
      <c r="I102" s="387"/>
      <c r="AS102" s="11"/>
      <c r="AT102" s="11"/>
      <c r="AU102" s="11"/>
      <c r="AV102" s="11"/>
      <c r="AW102" s="11"/>
      <c r="AX102" s="11"/>
      <c r="AY102" s="11"/>
      <c r="AZ102" s="11"/>
      <c r="BA102" s="11"/>
      <c r="BB102" s="11"/>
      <c r="BC102" s="11"/>
      <c r="BD102" s="11"/>
      <c r="BE102" s="11"/>
      <c r="BF102" s="11"/>
      <c r="BG102" s="11"/>
      <c r="BH102" s="11"/>
    </row>
    <row r="103" spans="1:65" x14ac:dyDescent="0.2">
      <c r="A103" s="10"/>
      <c r="B103" s="366" t="s">
        <v>278</v>
      </c>
      <c r="C103" s="366"/>
      <c r="D103" s="366"/>
      <c r="E103" s="366"/>
      <c r="F103" s="366"/>
      <c r="G103" s="366"/>
      <c r="H103" s="366"/>
      <c r="I103" s="366"/>
      <c r="J103" s="10"/>
      <c r="K103" s="10"/>
      <c r="L103" s="10"/>
      <c r="M103" s="10"/>
      <c r="N103" s="10"/>
      <c r="O103" s="10"/>
      <c r="P103" s="10"/>
      <c r="Q103" s="10"/>
      <c r="BI103" s="8"/>
      <c r="BJ103" s="8"/>
      <c r="BK103" s="8"/>
      <c r="BL103" s="8"/>
      <c r="BM103" s="8"/>
    </row>
    <row r="104" spans="1:65" s="8" customFormat="1" ht="3" customHeight="1" x14ac:dyDescent="0.2">
      <c r="A104" s="10"/>
      <c r="D104" s="31"/>
      <c r="E104" s="32"/>
      <c r="F104" s="84"/>
      <c r="G104" s="84"/>
      <c r="H104" s="84"/>
      <c r="I104" s="10"/>
      <c r="J104" s="10"/>
      <c r="K104" s="10"/>
      <c r="L104" s="10"/>
    </row>
    <row r="105" spans="1:65" ht="15" x14ac:dyDescent="0.2">
      <c r="A105" s="10"/>
      <c r="B105" s="4" t="s">
        <v>0</v>
      </c>
      <c r="C105" s="4"/>
      <c r="D105" s="4"/>
      <c r="E105" s="12"/>
      <c r="F105" s="12"/>
      <c r="G105" s="12"/>
      <c r="H105" s="12"/>
      <c r="I105" s="13"/>
      <c r="AS105" s="11"/>
      <c r="AT105" s="11"/>
      <c r="AU105" s="11"/>
      <c r="AV105" s="11"/>
      <c r="AW105" s="11"/>
      <c r="AX105" s="11"/>
      <c r="AY105" s="11"/>
      <c r="AZ105" s="11"/>
      <c r="BA105" s="11"/>
      <c r="BB105" s="11"/>
      <c r="BC105" s="11"/>
      <c r="BD105" s="11"/>
      <c r="BE105" s="11"/>
      <c r="BF105" s="11"/>
      <c r="BG105" s="11"/>
      <c r="BH105" s="11"/>
    </row>
    <row r="106" spans="1:65" x14ac:dyDescent="0.2">
      <c r="A106" s="10"/>
      <c r="B106" s="6"/>
      <c r="C106" s="6"/>
      <c r="D106" s="6"/>
      <c r="E106" s="6"/>
      <c r="F106" s="6"/>
      <c r="G106" s="6"/>
      <c r="H106" s="6"/>
      <c r="I106" s="22"/>
      <c r="AS106" s="11"/>
      <c r="AT106" s="11"/>
      <c r="AU106" s="11"/>
      <c r="AV106" s="11"/>
      <c r="AW106" s="11"/>
      <c r="AX106" s="11"/>
      <c r="AY106" s="11"/>
      <c r="AZ106" s="11"/>
      <c r="BA106" s="11"/>
      <c r="BB106" s="11"/>
      <c r="BC106" s="11"/>
      <c r="BD106" s="11"/>
      <c r="BE106" s="11"/>
      <c r="BF106" s="11"/>
      <c r="BG106" s="11"/>
      <c r="BH106" s="11"/>
    </row>
    <row r="107" spans="1:65" ht="15" x14ac:dyDescent="0.2">
      <c r="A107" s="10"/>
      <c r="B107" s="14" t="s">
        <v>2</v>
      </c>
      <c r="C107" s="14"/>
      <c r="D107" s="14"/>
      <c r="E107" s="15" t="s">
        <v>4</v>
      </c>
      <c r="F107" s="16" t="s">
        <v>7</v>
      </c>
      <c r="G107" s="16" t="s">
        <v>3</v>
      </c>
      <c r="H107" s="16" t="s">
        <v>11</v>
      </c>
      <c r="I107" s="15" t="s">
        <v>34</v>
      </c>
      <c r="AS107" s="11"/>
      <c r="AT107" s="11"/>
      <c r="AU107" s="11"/>
      <c r="AV107" s="11"/>
      <c r="AW107" s="11"/>
      <c r="AX107" s="11"/>
      <c r="AY107" s="11"/>
      <c r="AZ107" s="11"/>
      <c r="BA107" s="11"/>
      <c r="BB107" s="11"/>
      <c r="BC107" s="11"/>
      <c r="BD107" s="11"/>
      <c r="BE107" s="11"/>
      <c r="BF107" s="11"/>
      <c r="BG107" s="11"/>
      <c r="BH107" s="11"/>
    </row>
    <row r="108" spans="1:65" x14ac:dyDescent="0.2">
      <c r="A108" s="10"/>
      <c r="B108" s="230"/>
      <c r="C108" s="14"/>
      <c r="D108" s="14"/>
      <c r="E108" s="15"/>
      <c r="F108" s="16"/>
      <c r="G108" s="16"/>
      <c r="H108" s="16"/>
      <c r="I108" s="15"/>
      <c r="AS108" s="11"/>
      <c r="AT108" s="11"/>
      <c r="AU108" s="11"/>
      <c r="AV108" s="11"/>
      <c r="AW108" s="11"/>
      <c r="AX108" s="11"/>
      <c r="AY108" s="11"/>
      <c r="AZ108" s="11"/>
      <c r="BA108" s="11"/>
      <c r="BB108" s="11"/>
      <c r="BC108" s="11"/>
      <c r="BD108" s="11"/>
      <c r="BE108" s="11"/>
      <c r="BF108" s="11"/>
      <c r="BG108" s="11"/>
      <c r="BH108" s="11"/>
    </row>
    <row r="109" spans="1:65" ht="15" customHeight="1" x14ac:dyDescent="0.2">
      <c r="A109" s="10"/>
      <c r="B109" s="362" t="s">
        <v>535</v>
      </c>
      <c r="C109" s="362"/>
      <c r="D109" s="14"/>
      <c r="E109" s="30" t="s">
        <v>544</v>
      </c>
      <c r="F109" s="272">
        <v>0.8</v>
      </c>
      <c r="G109" s="7" t="s">
        <v>14</v>
      </c>
      <c r="H109" s="7" t="s">
        <v>13</v>
      </c>
      <c r="I109" s="15"/>
      <c r="AS109" s="11"/>
      <c r="AT109" s="11"/>
      <c r="AU109" s="11"/>
      <c r="AV109" s="11"/>
      <c r="AW109" s="11"/>
      <c r="AX109" s="11"/>
      <c r="AY109" s="11"/>
      <c r="AZ109" s="11"/>
      <c r="BA109" s="11"/>
      <c r="BB109" s="11"/>
      <c r="BC109" s="11"/>
      <c r="BD109" s="11"/>
      <c r="BE109" s="11"/>
      <c r="BF109" s="11"/>
      <c r="BG109" s="11"/>
      <c r="BH109" s="11"/>
    </row>
    <row r="110" spans="1:65" ht="5.0999999999999996" customHeight="1" x14ac:dyDescent="0.2">
      <c r="A110" s="10"/>
      <c r="B110" s="234"/>
      <c r="C110" s="234"/>
      <c r="D110" s="14"/>
      <c r="E110" s="30"/>
      <c r="F110" s="272"/>
      <c r="G110" s="7"/>
      <c r="H110" s="7"/>
      <c r="I110" s="15"/>
      <c r="AS110" s="11"/>
      <c r="AT110" s="11"/>
      <c r="AU110" s="11"/>
      <c r="AV110" s="11"/>
      <c r="AW110" s="11"/>
      <c r="AX110" s="11"/>
      <c r="AY110" s="11"/>
      <c r="AZ110" s="11"/>
      <c r="BA110" s="11"/>
      <c r="BB110" s="11"/>
      <c r="BC110" s="11"/>
      <c r="BD110" s="11"/>
      <c r="BE110" s="11"/>
      <c r="BF110" s="11"/>
      <c r="BG110" s="11"/>
      <c r="BH110" s="11"/>
    </row>
    <row r="111" spans="1:65" ht="15" x14ac:dyDescent="0.2">
      <c r="A111" s="10"/>
      <c r="B111" s="22" t="s">
        <v>537</v>
      </c>
      <c r="C111" s="234"/>
      <c r="D111" s="14"/>
      <c r="E111" s="30" t="s">
        <v>545</v>
      </c>
      <c r="F111" s="272">
        <v>0.2</v>
      </c>
      <c r="G111" s="7" t="s">
        <v>14</v>
      </c>
      <c r="H111" s="7" t="s">
        <v>13</v>
      </c>
      <c r="I111" s="15"/>
      <c r="AS111" s="11"/>
      <c r="AT111" s="11"/>
      <c r="AU111" s="11"/>
      <c r="AV111" s="11"/>
      <c r="AW111" s="11"/>
      <c r="AX111" s="11"/>
      <c r="AY111" s="11"/>
      <c r="AZ111" s="11"/>
      <c r="BA111" s="11"/>
      <c r="BB111" s="11"/>
      <c r="BC111" s="11"/>
      <c r="BD111" s="11"/>
      <c r="BE111" s="11"/>
      <c r="BF111" s="11"/>
      <c r="BG111" s="11"/>
      <c r="BH111" s="11"/>
    </row>
    <row r="112" spans="1:65" ht="5.0999999999999996" customHeight="1" x14ac:dyDescent="0.2">
      <c r="A112" s="10"/>
      <c r="B112" s="234"/>
      <c r="C112" s="14"/>
      <c r="D112" s="14"/>
      <c r="E112" s="15"/>
      <c r="F112" s="272"/>
      <c r="G112" s="7"/>
      <c r="H112" s="7"/>
      <c r="I112" s="15"/>
      <c r="AS112" s="11"/>
      <c r="AT112" s="11"/>
      <c r="AU112" s="11"/>
      <c r="AV112" s="11"/>
      <c r="AW112" s="11"/>
      <c r="AX112" s="11"/>
      <c r="AY112" s="11"/>
      <c r="AZ112" s="11"/>
      <c r="BA112" s="11"/>
      <c r="BB112" s="11"/>
      <c r="BC112" s="11"/>
      <c r="BD112" s="11"/>
      <c r="BE112" s="11"/>
      <c r="BF112" s="11"/>
      <c r="BG112" s="11"/>
      <c r="BH112" s="11"/>
    </row>
    <row r="113" spans="2:9" s="8" customFormat="1" ht="12.75" customHeight="1" x14ac:dyDescent="0.2">
      <c r="B113" s="362" t="s">
        <v>72</v>
      </c>
      <c r="C113" s="362"/>
      <c r="D113" s="34"/>
      <c r="E113" s="234" t="s">
        <v>73</v>
      </c>
      <c r="F113" s="273">
        <v>30</v>
      </c>
      <c r="G113" s="7" t="s">
        <v>10</v>
      </c>
      <c r="H113" s="7" t="s">
        <v>13</v>
      </c>
      <c r="I113" s="34"/>
    </row>
    <row r="114" spans="2:9" s="8" customFormat="1" ht="5.0999999999999996" customHeight="1" x14ac:dyDescent="0.2">
      <c r="B114" s="362"/>
      <c r="C114" s="362"/>
      <c r="D114" s="34"/>
      <c r="E114" s="22"/>
      <c r="F114" s="273"/>
      <c r="G114" s="19"/>
      <c r="H114" s="7"/>
      <c r="I114" s="34"/>
    </row>
    <row r="115" spans="2:9" s="8" customFormat="1" ht="39.950000000000003" customHeight="1" x14ac:dyDescent="0.2">
      <c r="B115" s="362" t="s">
        <v>721</v>
      </c>
      <c r="C115" s="362"/>
      <c r="D115" s="34"/>
      <c r="E115" s="22" t="s">
        <v>75</v>
      </c>
      <c r="F115" s="273">
        <v>365</v>
      </c>
      <c r="G115" s="19" t="s">
        <v>10</v>
      </c>
      <c r="H115" s="7" t="s">
        <v>13</v>
      </c>
      <c r="I115" s="146" t="s">
        <v>966</v>
      </c>
    </row>
    <row r="116" spans="2:9" s="8" customFormat="1" ht="5.0999999999999996" customHeight="1" x14ac:dyDescent="0.2">
      <c r="B116" s="362"/>
      <c r="C116" s="362"/>
      <c r="D116" s="34"/>
      <c r="E116" s="22"/>
      <c r="F116" s="273"/>
      <c r="G116" s="19"/>
      <c r="H116" s="7"/>
      <c r="I116" s="34"/>
    </row>
    <row r="117" spans="2:9" s="8" customFormat="1" ht="12.75" customHeight="1" x14ac:dyDescent="0.2">
      <c r="B117" s="362" t="s">
        <v>675</v>
      </c>
      <c r="C117" s="362"/>
      <c r="D117" s="34"/>
      <c r="E117" s="22" t="s">
        <v>676</v>
      </c>
      <c r="F117" s="273">
        <v>7300</v>
      </c>
      <c r="G117" s="19" t="s">
        <v>10</v>
      </c>
      <c r="H117" s="7" t="s">
        <v>13</v>
      </c>
      <c r="I117" s="92" t="s">
        <v>614</v>
      </c>
    </row>
    <row r="118" spans="2:9" s="8" customFormat="1" ht="5.0999999999999996" customHeight="1" x14ac:dyDescent="0.2">
      <c r="B118" s="230"/>
      <c r="C118" s="230"/>
      <c r="D118" s="230"/>
      <c r="E118" s="30"/>
      <c r="F118" s="273"/>
      <c r="G118" s="19"/>
      <c r="H118" s="7"/>
      <c r="I118" s="7"/>
    </row>
    <row r="119" spans="2:9" s="8" customFormat="1" ht="25.15" customHeight="1" x14ac:dyDescent="0.2">
      <c r="B119" s="362" t="s">
        <v>193</v>
      </c>
      <c r="C119" s="362"/>
      <c r="D119" s="34"/>
      <c r="E119" s="230" t="s">
        <v>194</v>
      </c>
      <c r="F119" s="274"/>
      <c r="G119" s="19" t="s">
        <v>813</v>
      </c>
      <c r="H119" s="7" t="s">
        <v>6</v>
      </c>
      <c r="I119" s="34"/>
    </row>
    <row r="120" spans="2:9" s="8" customFormat="1" ht="5.0999999999999996" customHeight="1" x14ac:dyDescent="0.2">
      <c r="B120" s="362"/>
      <c r="C120" s="362"/>
      <c r="D120" s="34"/>
      <c r="E120" s="22"/>
      <c r="F120" s="273"/>
      <c r="G120" s="19"/>
      <c r="H120" s="7"/>
      <c r="I120" s="34"/>
    </row>
    <row r="121" spans="2:9" s="8" customFormat="1" ht="25.15" customHeight="1" x14ac:dyDescent="0.2">
      <c r="B121" s="362" t="s">
        <v>683</v>
      </c>
      <c r="C121" s="362"/>
      <c r="D121" s="34"/>
      <c r="E121" s="290" t="s">
        <v>196</v>
      </c>
      <c r="F121" s="274"/>
      <c r="G121" s="19" t="s">
        <v>813</v>
      </c>
      <c r="H121" s="7" t="s">
        <v>6</v>
      </c>
      <c r="I121" s="92"/>
    </row>
    <row r="122" spans="2:9" s="8" customFormat="1" ht="5.0999999999999996" customHeight="1" x14ac:dyDescent="0.2">
      <c r="B122" s="362"/>
      <c r="C122" s="362"/>
      <c r="D122" s="34"/>
      <c r="E122" s="22"/>
      <c r="F122" s="273"/>
      <c r="G122" s="19"/>
      <c r="H122" s="7"/>
      <c r="I122" s="34"/>
    </row>
    <row r="123" spans="2:9" s="8" customFormat="1" ht="25.15" customHeight="1" x14ac:dyDescent="0.2">
      <c r="B123" s="362" t="s">
        <v>195</v>
      </c>
      <c r="C123" s="362"/>
      <c r="D123" s="34"/>
      <c r="E123" s="230" t="s">
        <v>684</v>
      </c>
      <c r="F123" s="274"/>
      <c r="G123" s="19" t="s">
        <v>813</v>
      </c>
      <c r="H123" s="7" t="s">
        <v>6</v>
      </c>
      <c r="I123" s="92"/>
    </row>
    <row r="124" spans="2:9" s="8" customFormat="1" ht="5.0999999999999996" customHeight="1" x14ac:dyDescent="0.2">
      <c r="B124" s="230"/>
      <c r="C124" s="230"/>
      <c r="D124" s="34"/>
      <c r="E124" s="22"/>
      <c r="F124" s="273"/>
      <c r="G124" s="19"/>
      <c r="H124" s="7"/>
      <c r="I124" s="34"/>
    </row>
    <row r="125" spans="2:9" s="8" customFormat="1" ht="15" x14ac:dyDescent="0.2">
      <c r="B125" s="234" t="s">
        <v>197</v>
      </c>
      <c r="C125" s="234"/>
      <c r="D125" s="34"/>
      <c r="E125" s="22" t="s">
        <v>23</v>
      </c>
      <c r="F125" s="273">
        <v>1.21</v>
      </c>
      <c r="G125" s="7" t="s">
        <v>24</v>
      </c>
      <c r="H125" s="7" t="s">
        <v>13</v>
      </c>
      <c r="I125" s="107"/>
    </row>
    <row r="126" spans="2:9" s="8" customFormat="1" ht="5.0999999999999996" customHeight="1" x14ac:dyDescent="0.2">
      <c r="B126" s="234"/>
      <c r="C126" s="234"/>
      <c r="D126" s="34"/>
      <c r="E126" s="22"/>
      <c r="F126" s="277"/>
      <c r="G126" s="7"/>
      <c r="H126" s="7"/>
      <c r="I126" s="107"/>
    </row>
    <row r="127" spans="2:9" s="8" customFormat="1" ht="15" x14ac:dyDescent="0.2">
      <c r="B127" s="234" t="s">
        <v>25</v>
      </c>
      <c r="C127" s="234"/>
      <c r="D127" s="34"/>
      <c r="E127" s="22" t="s">
        <v>30</v>
      </c>
      <c r="F127" s="273">
        <v>1700</v>
      </c>
      <c r="G127" s="19" t="s">
        <v>169</v>
      </c>
      <c r="H127" s="7" t="s">
        <v>13</v>
      </c>
      <c r="I127" s="107"/>
    </row>
    <row r="128" spans="2:9" s="8" customFormat="1" x14ac:dyDescent="0.2">
      <c r="B128" s="230"/>
      <c r="C128" s="230"/>
      <c r="D128" s="34"/>
      <c r="E128" s="22"/>
      <c r="F128" s="7"/>
      <c r="G128" s="19"/>
      <c r="H128" s="7"/>
      <c r="I128" s="34"/>
    </row>
    <row r="129" spans="1:60" s="8" customFormat="1" x14ac:dyDescent="0.2">
      <c r="B129" s="365" t="s">
        <v>558</v>
      </c>
      <c r="C129" s="365"/>
      <c r="D129" s="365"/>
      <c r="E129" s="365"/>
      <c r="F129" s="365"/>
      <c r="G129" s="365"/>
      <c r="H129" s="365"/>
      <c r="I129" s="365"/>
    </row>
    <row r="130" spans="1:60" s="8" customFormat="1" x14ac:dyDescent="0.2">
      <c r="B130" s="248"/>
      <c r="C130" s="248"/>
      <c r="D130" s="34"/>
      <c r="E130" s="22"/>
      <c r="F130" s="7"/>
      <c r="G130" s="19"/>
      <c r="H130" s="7"/>
      <c r="I130" s="34"/>
    </row>
    <row r="131" spans="1:60" s="8" customFormat="1" ht="15" x14ac:dyDescent="0.2">
      <c r="B131" s="362" t="s">
        <v>780</v>
      </c>
      <c r="C131" s="362"/>
      <c r="D131" s="34"/>
      <c r="E131" s="22" t="s">
        <v>449</v>
      </c>
      <c r="F131" s="274"/>
      <c r="G131" s="19" t="s">
        <v>483</v>
      </c>
      <c r="H131" s="7" t="s">
        <v>13</v>
      </c>
      <c r="I131" s="34"/>
    </row>
    <row r="132" spans="1:60" s="8" customFormat="1" ht="5.0999999999999996" customHeight="1" x14ac:dyDescent="0.2">
      <c r="B132" s="248"/>
      <c r="C132" s="248"/>
      <c r="D132" s="34"/>
      <c r="E132" s="22"/>
      <c r="F132" s="273"/>
      <c r="G132" s="19"/>
      <c r="H132" s="7"/>
      <c r="I132" s="34"/>
    </row>
    <row r="133" spans="1:60" s="8" customFormat="1" ht="15" x14ac:dyDescent="0.2">
      <c r="B133" s="362" t="s">
        <v>442</v>
      </c>
      <c r="C133" s="362"/>
      <c r="D133" s="34"/>
      <c r="E133" s="22" t="s">
        <v>653</v>
      </c>
      <c r="F133" s="326"/>
      <c r="G133" s="19" t="s">
        <v>443</v>
      </c>
      <c r="H133" s="7" t="s">
        <v>13</v>
      </c>
      <c r="I133" s="151"/>
    </row>
    <row r="134" spans="1:60" s="8" customFormat="1" x14ac:dyDescent="0.2">
      <c r="B134" s="248"/>
      <c r="C134" s="248"/>
      <c r="D134" s="34"/>
      <c r="E134" s="22"/>
      <c r="F134" s="7"/>
      <c r="G134" s="19"/>
      <c r="H134" s="7"/>
      <c r="I134" s="34"/>
    </row>
    <row r="135" spans="1:60" ht="15" x14ac:dyDescent="0.2">
      <c r="A135" s="10"/>
      <c r="B135" s="4" t="s">
        <v>1</v>
      </c>
      <c r="C135" s="4"/>
      <c r="D135" s="4"/>
      <c r="E135" s="4"/>
      <c r="F135" s="12"/>
      <c r="G135" s="12"/>
      <c r="H135" s="12"/>
      <c r="I135" s="12"/>
      <c r="AT135" s="11"/>
      <c r="AU135" s="11"/>
      <c r="AV135" s="11"/>
      <c r="AW135" s="11"/>
      <c r="AX135" s="11"/>
      <c r="AY135" s="11"/>
      <c r="AZ135" s="11"/>
      <c r="BA135" s="11"/>
      <c r="BB135" s="11"/>
      <c r="BC135" s="11"/>
      <c r="BD135" s="11"/>
      <c r="BE135" s="11"/>
      <c r="BF135" s="11"/>
      <c r="BG135" s="11"/>
      <c r="BH135" s="11"/>
    </row>
    <row r="136" spans="1:60" x14ac:dyDescent="0.2">
      <c r="A136" s="10"/>
      <c r="B136" s="6"/>
      <c r="C136" s="6"/>
      <c r="D136" s="6"/>
      <c r="E136" s="6"/>
      <c r="F136" s="6"/>
      <c r="G136" s="6"/>
      <c r="H136" s="6"/>
      <c r="I136" s="6"/>
      <c r="AT136" s="11"/>
      <c r="AU136" s="11"/>
      <c r="AV136" s="11"/>
      <c r="AW136" s="11"/>
      <c r="AX136" s="11"/>
      <c r="AY136" s="11"/>
      <c r="AZ136" s="11"/>
      <c r="BA136" s="11"/>
      <c r="BB136" s="11"/>
      <c r="BC136" s="11"/>
      <c r="BD136" s="11"/>
      <c r="BE136" s="11"/>
      <c r="BF136" s="11"/>
      <c r="BG136" s="11"/>
      <c r="BH136" s="11"/>
    </row>
    <row r="137" spans="1:60" ht="15" x14ac:dyDescent="0.2">
      <c r="A137" s="10"/>
      <c r="B137" s="14" t="s">
        <v>2</v>
      </c>
      <c r="C137" s="14"/>
      <c r="D137" s="14"/>
      <c r="E137" s="15" t="s">
        <v>4</v>
      </c>
      <c r="F137" s="16" t="s">
        <v>7</v>
      </c>
      <c r="G137" s="16" t="s">
        <v>3</v>
      </c>
      <c r="H137" s="16" t="s">
        <v>11</v>
      </c>
      <c r="I137" s="15" t="s">
        <v>34</v>
      </c>
      <c r="AT137" s="11"/>
      <c r="AU137" s="11"/>
      <c r="AV137" s="11"/>
      <c r="AW137" s="11"/>
      <c r="AX137" s="11"/>
      <c r="AY137" s="11"/>
      <c r="AZ137" s="11"/>
      <c r="BA137" s="11"/>
      <c r="BB137" s="11"/>
      <c r="BC137" s="11"/>
      <c r="BD137" s="11"/>
      <c r="BE137" s="11"/>
      <c r="BF137" s="11"/>
      <c r="BG137" s="11"/>
      <c r="BH137" s="11"/>
    </row>
    <row r="138" spans="1:60" x14ac:dyDescent="0.2">
      <c r="A138" s="10"/>
      <c r="B138" s="14"/>
      <c r="C138" s="14"/>
      <c r="D138" s="14"/>
      <c r="E138" s="15"/>
      <c r="F138" s="16"/>
      <c r="G138" s="16"/>
      <c r="H138" s="16"/>
      <c r="I138" s="15"/>
      <c r="AT138" s="11"/>
      <c r="AU138" s="11"/>
      <c r="AV138" s="11"/>
      <c r="AW138" s="11"/>
      <c r="AX138" s="11"/>
      <c r="AY138" s="11"/>
      <c r="AZ138" s="11"/>
      <c r="BA138" s="11"/>
      <c r="BB138" s="11"/>
      <c r="BC138" s="11"/>
      <c r="BD138" s="11"/>
      <c r="BE138" s="11"/>
      <c r="BF138" s="11"/>
      <c r="BG138" s="11"/>
      <c r="BH138" s="11"/>
    </row>
    <row r="139" spans="1:60" s="8" customFormat="1" ht="15.75" x14ac:dyDescent="0.2">
      <c r="A139" s="10"/>
      <c r="B139" s="362" t="s">
        <v>198</v>
      </c>
      <c r="C139" s="362"/>
      <c r="D139" s="30"/>
      <c r="E139" s="30" t="s">
        <v>202</v>
      </c>
      <c r="F139" s="228" t="str">
        <f>IF(ISNUMBER(Q_leach_TIME1_Fpost),(AREApost_above+AREApost_below)*Q_leach_TIME1_Fpost,"??")</f>
        <v>??</v>
      </c>
      <c r="G139" s="19" t="s">
        <v>794</v>
      </c>
      <c r="H139" s="7" t="s">
        <v>8</v>
      </c>
      <c r="I139" s="249" t="s">
        <v>616</v>
      </c>
    </row>
    <row r="140" spans="1:60" s="8" customFormat="1" ht="5.0999999999999996" customHeight="1" x14ac:dyDescent="0.2">
      <c r="A140" s="10"/>
      <c r="B140" s="290"/>
      <c r="C140" s="290"/>
      <c r="D140" s="290"/>
      <c r="E140" s="30"/>
      <c r="F140" s="30"/>
      <c r="G140" s="19"/>
      <c r="H140" s="7"/>
      <c r="I140" s="20"/>
    </row>
    <row r="141" spans="1:60" s="8" customFormat="1" ht="33" customHeight="1" x14ac:dyDescent="0.2">
      <c r="A141" s="10"/>
      <c r="B141" s="362" t="s">
        <v>703</v>
      </c>
      <c r="C141" s="362"/>
      <c r="D141" s="30"/>
      <c r="E141" s="30" t="s">
        <v>203</v>
      </c>
      <c r="F141" s="228" t="str">
        <f>IF(ISNUMBER(Q_leach_TIME2_Fpost),(AREApost_above+AREApost_below)*Q_leach_TIME2_Fpost,"??")</f>
        <v>??</v>
      </c>
      <c r="G141" s="19" t="s">
        <v>794</v>
      </c>
      <c r="H141" s="7" t="s">
        <v>8</v>
      </c>
      <c r="I141" s="292" t="s">
        <v>617</v>
      </c>
    </row>
    <row r="142" spans="1:60" s="8" customFormat="1" ht="5.0999999999999996" customHeight="1" x14ac:dyDescent="0.2">
      <c r="A142" s="10"/>
      <c r="B142" s="248"/>
      <c r="C142" s="248"/>
      <c r="D142" s="248"/>
      <c r="E142" s="30"/>
      <c r="F142" s="30"/>
      <c r="G142" s="19"/>
      <c r="H142" s="7"/>
      <c r="I142" s="20"/>
    </row>
    <row r="143" spans="1:60" s="8" customFormat="1" ht="15.75" x14ac:dyDescent="0.2">
      <c r="A143" s="10"/>
      <c r="B143" s="362" t="s">
        <v>199</v>
      </c>
      <c r="C143" s="362"/>
      <c r="D143" s="30"/>
      <c r="E143" s="30" t="s">
        <v>678</v>
      </c>
      <c r="F143" s="228" t="str">
        <f>IF(ISNUMBER(Q_leach_TIME3_Fpost),(AREApost_above+AREApost_below)*Q_leach_TIME3_Fpost,"??")</f>
        <v>??</v>
      </c>
      <c r="G143" s="19" t="s">
        <v>794</v>
      </c>
      <c r="H143" s="7" t="s">
        <v>8</v>
      </c>
      <c r="I143" s="249" t="s">
        <v>726</v>
      </c>
    </row>
    <row r="144" spans="1:60" x14ac:dyDescent="0.2">
      <c r="A144" s="10"/>
      <c r="B144" s="14"/>
      <c r="C144" s="14"/>
      <c r="D144" s="14"/>
      <c r="E144" s="15"/>
      <c r="F144" s="16"/>
      <c r="G144" s="16"/>
      <c r="H144" s="16"/>
      <c r="I144" s="15"/>
      <c r="AT144" s="11"/>
      <c r="AU144" s="11"/>
      <c r="AV144" s="11"/>
      <c r="AW144" s="11"/>
      <c r="AX144" s="11"/>
      <c r="AY144" s="11"/>
      <c r="AZ144" s="11"/>
      <c r="BA144" s="11"/>
      <c r="BB144" s="11"/>
      <c r="BC144" s="11"/>
      <c r="BD144" s="11"/>
      <c r="BE144" s="11"/>
      <c r="BF144" s="11"/>
      <c r="BG144" s="11"/>
      <c r="BH144" s="11"/>
    </row>
    <row r="145" spans="1:66" s="8" customFormat="1" ht="28.5" x14ac:dyDescent="0.2">
      <c r="A145" s="10"/>
      <c r="B145" s="363" t="s">
        <v>491</v>
      </c>
      <c r="C145" s="363"/>
      <c r="D145" s="167"/>
      <c r="E145" s="167" t="s">
        <v>540</v>
      </c>
      <c r="F145" s="228" t="str">
        <f>IF(ISNUMBER(QleachTIME1_Fpost),(AREApost_above+AREApost_below)*QleachTIME1_Fpost/TIME1_Fpost,"??")</f>
        <v>??</v>
      </c>
      <c r="G145" s="19" t="s">
        <v>814</v>
      </c>
      <c r="H145" s="19" t="s">
        <v>8</v>
      </c>
      <c r="I145" s="146" t="s">
        <v>618</v>
      </c>
    </row>
    <row r="146" spans="1:66" s="8" customFormat="1" ht="5.0999999999999996" customHeight="1" x14ac:dyDescent="0.2">
      <c r="A146" s="10"/>
      <c r="B146" s="293"/>
      <c r="C146" s="293"/>
      <c r="D146" s="293"/>
      <c r="E146" s="167"/>
      <c r="F146" s="198"/>
      <c r="G146" s="19"/>
      <c r="H146" s="19"/>
      <c r="I146" s="146"/>
    </row>
    <row r="147" spans="1:66" s="8" customFormat="1" ht="28.5" x14ac:dyDescent="0.2">
      <c r="A147" s="10"/>
      <c r="B147" s="363" t="s">
        <v>688</v>
      </c>
      <c r="C147" s="363"/>
      <c r="D147" s="293"/>
      <c r="E147" s="167" t="s">
        <v>541</v>
      </c>
      <c r="F147" s="228" t="str">
        <f>IF(ISNUMBER(QleachTIME2_Fpost),(AREApost_above+AREApost_below)*QleachTIME2_Fpost/TIME2_Fpost,"??")</f>
        <v>??</v>
      </c>
      <c r="G147" s="19" t="s">
        <v>814</v>
      </c>
      <c r="H147" s="19" t="s">
        <v>8</v>
      </c>
      <c r="I147" s="146" t="s">
        <v>619</v>
      </c>
    </row>
    <row r="148" spans="1:66" s="8" customFormat="1" ht="5.0999999999999996" customHeight="1" x14ac:dyDescent="0.2">
      <c r="A148" s="10"/>
      <c r="B148" s="250"/>
      <c r="C148" s="250"/>
      <c r="D148" s="250"/>
      <c r="E148" s="167"/>
      <c r="F148" s="198"/>
      <c r="G148" s="19"/>
      <c r="H148" s="19"/>
      <c r="I148" s="146"/>
    </row>
    <row r="149" spans="1:66" s="8" customFormat="1" ht="28.5" x14ac:dyDescent="0.2">
      <c r="A149" s="10"/>
      <c r="B149" s="363" t="s">
        <v>492</v>
      </c>
      <c r="C149" s="363"/>
      <c r="D149" s="250"/>
      <c r="E149" s="167" t="s">
        <v>724</v>
      </c>
      <c r="F149" s="228" t="str">
        <f>IF(ISNUMBER(QleachTIME3_Fpost),(AREApost_above+AREApost_below)*QleachTIME3_Fpost/TIME3_Fpost,"??")</f>
        <v>??</v>
      </c>
      <c r="G149" s="19" t="s">
        <v>814</v>
      </c>
      <c r="H149" s="19" t="s">
        <v>8</v>
      </c>
      <c r="I149" s="146" t="s">
        <v>727</v>
      </c>
    </row>
    <row r="150" spans="1:66" x14ac:dyDescent="0.2">
      <c r="A150" s="10"/>
      <c r="B150" s="14"/>
      <c r="C150" s="14"/>
      <c r="D150" s="14"/>
      <c r="E150" s="15"/>
      <c r="F150" s="16"/>
      <c r="G150" s="16"/>
      <c r="H150" s="16"/>
      <c r="I150" s="15"/>
      <c r="AT150" s="11"/>
      <c r="AU150" s="11"/>
      <c r="AV150" s="11"/>
      <c r="AW150" s="11"/>
      <c r="AX150" s="11"/>
      <c r="AY150" s="11"/>
      <c r="AZ150" s="11"/>
      <c r="BA150" s="11"/>
      <c r="BB150" s="11"/>
      <c r="BC150" s="11"/>
      <c r="BD150" s="11"/>
      <c r="BE150" s="11"/>
      <c r="BF150" s="11"/>
      <c r="BG150" s="11"/>
      <c r="BH150" s="11"/>
    </row>
    <row r="151" spans="1:66" ht="15" x14ac:dyDescent="0.2">
      <c r="A151" s="10"/>
      <c r="B151" s="382" t="s">
        <v>532</v>
      </c>
      <c r="C151" s="382"/>
      <c r="D151" s="382"/>
      <c r="E151" s="382"/>
      <c r="F151" s="382"/>
      <c r="G151" s="382"/>
      <c r="H151" s="382"/>
      <c r="I151" s="382"/>
      <c r="AT151" s="11"/>
      <c r="AU151" s="11"/>
      <c r="AV151" s="11"/>
      <c r="AW151" s="11"/>
      <c r="AX151" s="11"/>
      <c r="AY151" s="11"/>
      <c r="AZ151" s="11"/>
      <c r="BA151" s="11"/>
      <c r="BB151" s="11"/>
      <c r="BC151" s="11"/>
      <c r="BD151" s="11"/>
      <c r="BE151" s="11"/>
      <c r="BF151" s="11"/>
      <c r="BG151" s="11"/>
      <c r="BH151" s="11"/>
    </row>
    <row r="152" spans="1:66" x14ac:dyDescent="0.2">
      <c r="A152" s="10"/>
      <c r="B152" s="14"/>
      <c r="C152" s="14"/>
      <c r="D152" s="14"/>
      <c r="E152" s="15"/>
      <c r="F152" s="16"/>
      <c r="G152" s="16"/>
      <c r="H152" s="16"/>
      <c r="I152" s="15"/>
      <c r="AT152" s="11"/>
      <c r="AU152" s="11"/>
      <c r="AV152" s="11"/>
      <c r="AW152" s="11"/>
      <c r="AX152" s="11"/>
      <c r="AY152" s="11"/>
      <c r="AZ152" s="11"/>
      <c r="BA152" s="11"/>
      <c r="BB152" s="11"/>
      <c r="BC152" s="11"/>
      <c r="BD152" s="11"/>
      <c r="BE152" s="11"/>
      <c r="BF152" s="11"/>
      <c r="BG152" s="11"/>
      <c r="BH152" s="11"/>
    </row>
    <row r="153" spans="1:66" s="8" customFormat="1" ht="15" x14ac:dyDescent="0.2">
      <c r="A153" s="10"/>
      <c r="B153" s="362" t="s">
        <v>200</v>
      </c>
      <c r="C153" s="362"/>
      <c r="D153" s="30"/>
      <c r="E153" s="30" t="s">
        <v>204</v>
      </c>
      <c r="F153" s="228" t="str">
        <f>IF(ISNUMBER(QleachTIME1_Fpost),QleachTIME1_Fpost/(Vsoil_Fpost*RHOsoil_Fpost),"??")</f>
        <v>??</v>
      </c>
      <c r="G153" s="19" t="s">
        <v>807</v>
      </c>
      <c r="H153" s="7" t="s">
        <v>8</v>
      </c>
      <c r="I153" s="20" t="s">
        <v>297</v>
      </c>
    </row>
    <row r="154" spans="1:66" s="8" customFormat="1" ht="5.0999999999999996" customHeight="1" x14ac:dyDescent="0.2">
      <c r="A154" s="10"/>
      <c r="B154" s="290"/>
      <c r="C154" s="290"/>
      <c r="D154" s="290"/>
      <c r="E154" s="30"/>
      <c r="F154" s="30"/>
      <c r="G154" s="19"/>
      <c r="H154" s="7"/>
      <c r="I154" s="20"/>
    </row>
    <row r="155" spans="1:66" s="8" customFormat="1" ht="24.95" customHeight="1" x14ac:dyDescent="0.2">
      <c r="A155" s="10"/>
      <c r="B155" s="362" t="s">
        <v>682</v>
      </c>
      <c r="C155" s="362"/>
      <c r="D155" s="30"/>
      <c r="E155" s="30" t="s">
        <v>205</v>
      </c>
      <c r="F155" s="228" t="str">
        <f>IF(ISNUMBER(QleachTIME2_Fpost),QleachTIME2_Fpost/(Vsoil_Fpost*RHOsoil_Fpost),"??")</f>
        <v>??</v>
      </c>
      <c r="G155" s="19" t="s">
        <v>807</v>
      </c>
      <c r="H155" s="7" t="s">
        <v>8</v>
      </c>
      <c r="I155" s="20" t="s">
        <v>298</v>
      </c>
    </row>
    <row r="156" spans="1:66" s="8" customFormat="1" ht="5.0999999999999996" customHeight="1" x14ac:dyDescent="0.2">
      <c r="A156" s="10"/>
      <c r="B156" s="248"/>
      <c r="C156" s="248"/>
      <c r="D156" s="248"/>
      <c r="E156" s="30"/>
      <c r="F156" s="30"/>
      <c r="G156" s="19"/>
      <c r="H156" s="7"/>
      <c r="I156" s="20"/>
    </row>
    <row r="157" spans="1:66" s="8" customFormat="1" ht="15" x14ac:dyDescent="0.2">
      <c r="A157" s="10"/>
      <c r="B157" s="362" t="s">
        <v>201</v>
      </c>
      <c r="C157" s="362"/>
      <c r="D157" s="30"/>
      <c r="E157" s="30" t="s">
        <v>681</v>
      </c>
      <c r="F157" s="228" t="str">
        <f>IF(ISNUMBER(QleachTIME3_Fpost),QleachTIME3_Fpost/(Vsoil_Fpost*RHOsoil_Fpost),"??")</f>
        <v>??</v>
      </c>
      <c r="G157" s="19" t="s">
        <v>807</v>
      </c>
      <c r="H157" s="7" t="s">
        <v>8</v>
      </c>
      <c r="I157" s="20" t="s">
        <v>723</v>
      </c>
    </row>
    <row r="158" spans="1:66" s="8" customFormat="1" x14ac:dyDescent="0.2">
      <c r="A158" s="10"/>
      <c r="B158" s="248"/>
      <c r="C158" s="248"/>
      <c r="D158" s="248"/>
      <c r="E158" s="30"/>
      <c r="F158" s="16"/>
      <c r="G158" s="7"/>
      <c r="H158" s="7"/>
      <c r="I158" s="20"/>
    </row>
    <row r="159" spans="1:66" s="8" customFormat="1" ht="15" x14ac:dyDescent="0.2">
      <c r="A159" s="10"/>
      <c r="B159" s="382" t="s">
        <v>559</v>
      </c>
      <c r="C159" s="382"/>
      <c r="D159" s="382"/>
      <c r="E159" s="382"/>
      <c r="F159" s="382"/>
      <c r="G159" s="382"/>
      <c r="H159" s="382"/>
      <c r="I159" s="382"/>
      <c r="J159" s="170"/>
      <c r="AT159" s="10"/>
      <c r="AU159" s="10"/>
      <c r="AV159" s="10"/>
      <c r="AW159" s="10"/>
      <c r="AX159" s="10"/>
      <c r="AY159" s="10"/>
      <c r="AZ159" s="10"/>
      <c r="BA159" s="10"/>
      <c r="BB159" s="10"/>
      <c r="BC159" s="10"/>
      <c r="BD159" s="10"/>
      <c r="BE159" s="10"/>
      <c r="BF159" s="10"/>
      <c r="BG159" s="10"/>
      <c r="BH159" s="10"/>
      <c r="BI159" s="10"/>
      <c r="BJ159" s="10"/>
      <c r="BK159" s="10"/>
      <c r="BL159" s="10"/>
      <c r="BM159" s="10"/>
      <c r="BN159" s="10"/>
    </row>
    <row r="160" spans="1:66" s="8" customFormat="1" x14ac:dyDescent="0.2">
      <c r="A160" s="10"/>
      <c r="B160" s="249"/>
      <c r="C160" s="249"/>
      <c r="D160" s="249"/>
      <c r="E160" s="249"/>
      <c r="F160" s="249"/>
      <c r="G160" s="7"/>
      <c r="H160" s="7"/>
      <c r="I160" s="20"/>
    </row>
    <row r="161" spans="1:9" s="8" customFormat="1" ht="30" x14ac:dyDescent="0.2">
      <c r="A161" s="10"/>
      <c r="B161" s="362" t="s">
        <v>562</v>
      </c>
      <c r="C161" s="362"/>
      <c r="D161" s="248"/>
      <c r="E161" s="30" t="s">
        <v>454</v>
      </c>
      <c r="F161" s="228" t="str">
        <f>IF(AND(ISNUMBER(Esoil_leach_TIME1_Fpost),ISNUMBER(ksoil_Fpost)),Esoil_leach_TIME1_Fpost/(Vsoil_Fpost*RHOsoil_Fpost*ksoil_Fpost)-(Esoil_leach_TIME1_Fpost/(Vsoil_Fpost*RHOsoil_Fpost*ksoil_Fpost))*EXP(-TIME1_Fpost*ksoil_Fpost),"??")</f>
        <v>??</v>
      </c>
      <c r="G161" s="19" t="s">
        <v>807</v>
      </c>
      <c r="H161" s="7" t="s">
        <v>8</v>
      </c>
      <c r="I161" s="146" t="s">
        <v>833</v>
      </c>
    </row>
    <row r="162" spans="1:9" s="8" customFormat="1" ht="5.0999999999999996" customHeight="1" x14ac:dyDescent="0.2">
      <c r="A162" s="10"/>
      <c r="B162" s="290"/>
      <c r="C162" s="290"/>
      <c r="D162" s="290"/>
      <c r="E162" s="30"/>
      <c r="F162" s="292"/>
      <c r="G162" s="19"/>
      <c r="H162" s="7"/>
      <c r="I162" s="146"/>
    </row>
    <row r="163" spans="1:9" s="8" customFormat="1" ht="30" x14ac:dyDescent="0.2">
      <c r="A163" s="10"/>
      <c r="B163" s="362" t="s">
        <v>728</v>
      </c>
      <c r="C163" s="362"/>
      <c r="D163" s="290"/>
      <c r="E163" s="30" t="s">
        <v>455</v>
      </c>
      <c r="F163" s="228" t="str">
        <f>IF(AND(ISNUMBER(Esoil_leach_TIME2_Fpost),ISNUMBER(ksoil_Fpost)),Esoil_leach_TIME2_Fpost/(Vsoil_Fpost*RHOsoil_Fpost*ksoil_Fpost)-(Esoil_leach_TIME2_Fpost/(Vsoil_Fpost*RHOsoil_Fpost*ksoil_Fpost))*EXP(-TIME2_Fpost*ksoil_Fpost),"??")</f>
        <v>??</v>
      </c>
      <c r="G163" s="19" t="s">
        <v>829</v>
      </c>
      <c r="H163" s="7" t="s">
        <v>8</v>
      </c>
      <c r="I163" s="146" t="s">
        <v>834</v>
      </c>
    </row>
    <row r="164" spans="1:9" s="8" customFormat="1" ht="5.0999999999999996" customHeight="1" x14ac:dyDescent="0.2">
      <c r="A164" s="10"/>
      <c r="B164" s="248"/>
      <c r="C164" s="248"/>
      <c r="D164" s="248"/>
      <c r="E164" s="30"/>
      <c r="F164" s="249"/>
      <c r="G164" s="19"/>
      <c r="H164" s="7"/>
      <c r="I164" s="146"/>
    </row>
    <row r="165" spans="1:9" s="8" customFormat="1" ht="30" x14ac:dyDescent="0.2">
      <c r="A165" s="10"/>
      <c r="B165" s="362" t="s">
        <v>563</v>
      </c>
      <c r="C165" s="362"/>
      <c r="D165" s="248"/>
      <c r="E165" s="30" t="s">
        <v>691</v>
      </c>
      <c r="F165" s="228" t="str">
        <f>IF(AND(ISNUMBER(Esoil_leach_TIME3_Fpost),ISNUMBER(ksoil_Fpost)),Esoil_leach_TIME3_Fpost/(Vsoil_Fpost*RHOsoil_Fpost*ksoil_Fpost)-(Esoil_leach_TIME3_Fpost/(Vsoil_Fpost*RHOsoil_Fpost*ksoil_Fpost))*EXP(-TIME3_Fpost*ksoil_Fpost),"??")</f>
        <v>??</v>
      </c>
      <c r="G165" s="19" t="s">
        <v>829</v>
      </c>
      <c r="H165" s="7" t="s">
        <v>8</v>
      </c>
      <c r="I165" s="146" t="s">
        <v>701</v>
      </c>
    </row>
    <row r="166" spans="1:9" s="8" customFormat="1" x14ac:dyDescent="0.2">
      <c r="A166" s="10"/>
      <c r="B166" s="248"/>
      <c r="C166" s="248"/>
      <c r="D166" s="248"/>
      <c r="E166" s="30"/>
      <c r="F166" s="249"/>
      <c r="G166" s="19"/>
      <c r="H166" s="7"/>
      <c r="I166" s="146"/>
    </row>
    <row r="167" spans="1:9" s="8" customFormat="1" ht="15" x14ac:dyDescent="0.2">
      <c r="A167" s="10"/>
      <c r="B167" s="362" t="s">
        <v>560</v>
      </c>
      <c r="C167" s="362"/>
      <c r="D167" s="248"/>
      <c r="E167" s="30" t="s">
        <v>456</v>
      </c>
      <c r="F167" s="228" t="str">
        <f>IF(AND(ISNUMBER(Clocal_soil_TIME1_Fpost),ISNUMBER(Ksoil_water_Fpost)),Clocal_soil_TIME1_Fpost*RHOsoil_Fpost*0.001/Ksoil_water_Fpost,"??")</f>
        <v>??</v>
      </c>
      <c r="G167" s="19" t="s">
        <v>810</v>
      </c>
      <c r="H167" s="7" t="s">
        <v>8</v>
      </c>
      <c r="I167" s="146" t="s">
        <v>830</v>
      </c>
    </row>
    <row r="168" spans="1:9" s="8" customFormat="1" ht="5.0999999999999996" customHeight="1" x14ac:dyDescent="0.2">
      <c r="A168" s="10"/>
      <c r="B168" s="290"/>
      <c r="C168" s="290"/>
      <c r="D168" s="290"/>
      <c r="E168" s="30"/>
      <c r="F168" s="292"/>
      <c r="G168" s="19"/>
      <c r="H168" s="7"/>
      <c r="I168" s="146"/>
    </row>
    <row r="169" spans="1:9" s="8" customFormat="1" ht="24.95" customHeight="1" x14ac:dyDescent="0.2">
      <c r="A169" s="10"/>
      <c r="B169" s="362" t="s">
        <v>693</v>
      </c>
      <c r="C169" s="362"/>
      <c r="D169" s="290"/>
      <c r="E169" s="30" t="s">
        <v>457</v>
      </c>
      <c r="F169" s="228" t="str">
        <f>IF(AND(ISNUMBER(Clocal_soil_TIME2_Fpost),ISNUMBER(Ksoil_water_Fpost)),Clocal_soil_TIME2_Fpost*RHOsoil_Fpost*0.001/Ksoil_water_Fpost,"??")</f>
        <v>??</v>
      </c>
      <c r="G169" s="19" t="s">
        <v>810</v>
      </c>
      <c r="H169" s="7" t="s">
        <v>8</v>
      </c>
      <c r="I169" s="146" t="s">
        <v>831</v>
      </c>
    </row>
    <row r="170" spans="1:9" s="8" customFormat="1" ht="5.0999999999999996" customHeight="1" x14ac:dyDescent="0.2">
      <c r="A170" s="10"/>
      <c r="B170" s="248"/>
      <c r="C170" s="248"/>
      <c r="D170" s="248"/>
      <c r="E170" s="30"/>
      <c r="F170" s="249"/>
      <c r="G170" s="19"/>
      <c r="H170" s="7"/>
      <c r="I170" s="146"/>
    </row>
    <row r="171" spans="1:9" s="8" customFormat="1" ht="15" x14ac:dyDescent="0.2">
      <c r="A171" s="10"/>
      <c r="B171" s="362" t="s">
        <v>561</v>
      </c>
      <c r="C171" s="362"/>
      <c r="D171" s="248"/>
      <c r="E171" s="30" t="s">
        <v>692</v>
      </c>
      <c r="F171" s="228" t="str">
        <f>IF(AND(ISNUMBER(Clocal_soil_TIME3_Fpost),ISNUMBER(Ksoil_water_Fpost)),Clocal_soil_TIME3_Fpost*RHOsoil_Fpost*0.001/Ksoil_water_Fpost,"??")</f>
        <v>??</v>
      </c>
      <c r="G171" s="19" t="s">
        <v>810</v>
      </c>
      <c r="H171" s="7" t="s">
        <v>8</v>
      </c>
      <c r="I171" s="146" t="s">
        <v>832</v>
      </c>
    </row>
    <row r="172" spans="1:9" s="8" customFormat="1" x14ac:dyDescent="0.2">
      <c r="A172" s="10"/>
      <c r="B172" s="241"/>
      <c r="C172" s="241"/>
      <c r="D172" s="248"/>
      <c r="E172" s="30"/>
      <c r="F172" s="30"/>
      <c r="G172" s="7"/>
      <c r="H172" s="7"/>
      <c r="I172" s="146"/>
    </row>
    <row r="173" spans="1:9" s="8" customFormat="1" x14ac:dyDescent="0.2">
      <c r="B173" s="86" t="s">
        <v>12</v>
      </c>
      <c r="C173" s="86"/>
      <c r="F173" s="87"/>
      <c r="G173" s="88"/>
      <c r="H173" s="74"/>
      <c r="I173" s="85"/>
    </row>
    <row r="174" spans="1:9" s="73" customFormat="1" collapsed="1" x14ac:dyDescent="0.2">
      <c r="C174" s="115"/>
      <c r="G174" s="94"/>
      <c r="I174" s="94"/>
    </row>
    <row r="175" spans="1:9" s="73" customFormat="1" ht="12" customHeight="1" x14ac:dyDescent="0.2">
      <c r="B175" s="307" t="s">
        <v>818</v>
      </c>
      <c r="I175" s="94"/>
    </row>
    <row r="176" spans="1:9" s="73" customFormat="1" x14ac:dyDescent="0.2">
      <c r="B176" s="231"/>
      <c r="E176" s="94"/>
      <c r="F176" s="113"/>
      <c r="G176" s="113"/>
      <c r="H176" s="113"/>
      <c r="I176" s="94"/>
    </row>
    <row r="177" spans="2:9" s="73" customFormat="1" x14ac:dyDescent="0.2">
      <c r="B177" s="366"/>
      <c r="C177" s="366"/>
      <c r="E177" s="116"/>
      <c r="F177" s="117"/>
      <c r="G177" s="113"/>
      <c r="H177" s="113"/>
      <c r="I177" s="94"/>
    </row>
    <row r="178" spans="2:9" s="73" customFormat="1" x14ac:dyDescent="0.2">
      <c r="B178" s="231"/>
      <c r="E178" s="94"/>
      <c r="F178" s="113"/>
      <c r="G178" s="113"/>
      <c r="H178" s="113"/>
      <c r="I178" s="94"/>
    </row>
    <row r="179" spans="2:9" s="73" customFormat="1" x14ac:dyDescent="0.2">
      <c r="B179" s="231"/>
      <c r="D179" s="231"/>
      <c r="E179" s="116"/>
      <c r="F179" s="114"/>
      <c r="G179" s="113"/>
      <c r="H179" s="113"/>
      <c r="I179" s="94"/>
    </row>
    <row r="180" spans="2:9" s="73" customFormat="1" x14ac:dyDescent="0.2">
      <c r="B180" s="231"/>
      <c r="C180" s="231"/>
      <c r="D180" s="231"/>
      <c r="E180" s="116"/>
      <c r="F180" s="113"/>
      <c r="G180" s="113"/>
      <c r="H180" s="113"/>
      <c r="I180" s="113"/>
    </row>
    <row r="181" spans="2:9" s="73" customFormat="1" x14ac:dyDescent="0.2">
      <c r="B181" s="366"/>
      <c r="C181" s="366"/>
      <c r="E181" s="231"/>
      <c r="F181" s="114"/>
      <c r="G181" s="113"/>
      <c r="H181" s="113"/>
    </row>
    <row r="182" spans="2:9" s="73" customFormat="1" x14ac:dyDescent="0.2">
      <c r="B182" s="366"/>
      <c r="C182" s="366"/>
      <c r="E182" s="94"/>
      <c r="F182" s="113"/>
      <c r="G182" s="113"/>
      <c r="H182" s="113"/>
    </row>
    <row r="183" spans="2:9" s="73" customFormat="1" x14ac:dyDescent="0.2">
      <c r="B183" s="366"/>
      <c r="C183" s="366"/>
      <c r="E183" s="94"/>
      <c r="F183" s="114"/>
      <c r="G183" s="113"/>
      <c r="H183" s="113"/>
    </row>
    <row r="184" spans="2:9" s="73" customFormat="1" x14ac:dyDescent="0.2">
      <c r="B184" s="231"/>
      <c r="C184" s="231"/>
      <c r="E184" s="94"/>
      <c r="F184" s="113"/>
      <c r="G184" s="113"/>
      <c r="H184" s="113"/>
    </row>
    <row r="185" spans="2:9" s="73" customFormat="1" x14ac:dyDescent="0.2">
      <c r="B185" s="231"/>
      <c r="C185" s="231"/>
      <c r="E185" s="94"/>
      <c r="F185" s="113"/>
      <c r="G185" s="113"/>
      <c r="H185" s="113"/>
    </row>
    <row r="186" spans="2:9" s="73" customFormat="1" x14ac:dyDescent="0.2">
      <c r="B186" s="231"/>
      <c r="C186" s="231"/>
      <c r="E186" s="94"/>
      <c r="F186" s="113"/>
      <c r="G186" s="113"/>
      <c r="H186" s="113"/>
      <c r="I186" s="116"/>
    </row>
    <row r="187" spans="2:9" s="73" customFormat="1" x14ac:dyDescent="0.2">
      <c r="B187" s="231"/>
      <c r="C187" s="231"/>
      <c r="E187" s="94"/>
      <c r="F187" s="113"/>
      <c r="G187" s="113"/>
      <c r="H187" s="113"/>
    </row>
    <row r="188" spans="2:9" s="73" customFormat="1" x14ac:dyDescent="0.2">
      <c r="B188" s="231"/>
      <c r="C188" s="231"/>
      <c r="E188" s="94"/>
      <c r="F188" s="113"/>
      <c r="G188" s="113"/>
      <c r="H188" s="113"/>
    </row>
    <row r="189" spans="2:9" s="73" customFormat="1" x14ac:dyDescent="0.2">
      <c r="B189" s="231"/>
      <c r="C189" s="231"/>
      <c r="E189" s="94"/>
      <c r="F189" s="113"/>
      <c r="G189" s="113"/>
      <c r="H189" s="113"/>
    </row>
    <row r="190" spans="2:9" s="73" customFormat="1" x14ac:dyDescent="0.2">
      <c r="B190" s="231"/>
      <c r="C190" s="231"/>
      <c r="E190" s="94"/>
      <c r="F190" s="113"/>
      <c r="G190" s="113"/>
      <c r="H190" s="113"/>
    </row>
    <row r="191" spans="2:9" s="73" customFormat="1" x14ac:dyDescent="0.2"/>
    <row r="192" spans="2:9" s="73" customFormat="1" x14ac:dyDescent="0.2"/>
    <row r="193" spans="2:9" s="73" customFormat="1" x14ac:dyDescent="0.2">
      <c r="E193" s="94"/>
      <c r="F193" s="113"/>
      <c r="G193" s="113"/>
      <c r="H193" s="113"/>
      <c r="I193" s="94"/>
    </row>
    <row r="194" spans="2:9" s="73" customFormat="1" x14ac:dyDescent="0.2">
      <c r="I194" s="94"/>
    </row>
    <row r="195" spans="2:9" s="73" customFormat="1" x14ac:dyDescent="0.2">
      <c r="B195" s="366"/>
      <c r="C195" s="366"/>
      <c r="D195" s="366"/>
      <c r="E195" s="116"/>
      <c r="F195" s="118"/>
      <c r="G195" s="113"/>
      <c r="H195" s="113"/>
      <c r="I195" s="94"/>
    </row>
    <row r="196" spans="2:9" s="73" customFormat="1" x14ac:dyDescent="0.2">
      <c r="B196" s="231"/>
      <c r="C196" s="231"/>
      <c r="D196" s="231"/>
      <c r="E196" s="116"/>
      <c r="F196" s="116"/>
      <c r="G196" s="113"/>
      <c r="H196" s="113"/>
      <c r="I196" s="94"/>
    </row>
    <row r="197" spans="2:9" s="73" customFormat="1" x14ac:dyDescent="0.2">
      <c r="B197" s="366"/>
      <c r="C197" s="366"/>
      <c r="D197" s="366"/>
      <c r="E197" s="116"/>
      <c r="F197" s="118"/>
      <c r="G197" s="113"/>
      <c r="H197" s="113"/>
      <c r="I197" s="94"/>
    </row>
    <row r="198" spans="2:9" s="73" customFormat="1" x14ac:dyDescent="0.2">
      <c r="B198" s="231"/>
      <c r="C198" s="231"/>
      <c r="D198" s="231"/>
      <c r="E198" s="116"/>
      <c r="F198" s="116"/>
      <c r="G198" s="113"/>
      <c r="H198" s="113"/>
      <c r="I198" s="94"/>
    </row>
    <row r="199" spans="2:9" s="73" customFormat="1" x14ac:dyDescent="0.2">
      <c r="B199" s="116"/>
      <c r="C199" s="116"/>
      <c r="D199" s="231"/>
      <c r="E199" s="116"/>
      <c r="F199" s="116"/>
      <c r="H199" s="113"/>
      <c r="I199" s="113"/>
    </row>
    <row r="200" spans="2:9" s="73" customFormat="1" x14ac:dyDescent="0.2">
      <c r="I200" s="94"/>
    </row>
    <row r="201" spans="2:9" s="73" customFormat="1" x14ac:dyDescent="0.2">
      <c r="G201" s="94"/>
      <c r="I201" s="94"/>
    </row>
    <row r="202" spans="2:9" s="73" customFormat="1" x14ac:dyDescent="0.2">
      <c r="C202" s="115"/>
      <c r="G202" s="94"/>
      <c r="I202" s="94"/>
    </row>
    <row r="203" spans="2:9" s="73" customFormat="1" x14ac:dyDescent="0.2">
      <c r="C203" s="115"/>
      <c r="G203" s="94"/>
      <c r="I203" s="94"/>
    </row>
    <row r="204" spans="2:9" s="73" customFormat="1" x14ac:dyDescent="0.2">
      <c r="E204" s="94"/>
    </row>
    <row r="205" spans="2:9" s="73" customFormat="1" x14ac:dyDescent="0.2">
      <c r="E205" s="94"/>
    </row>
    <row r="206" spans="2:9" s="73" customFormat="1" x14ac:dyDescent="0.2">
      <c r="E206" s="94"/>
    </row>
    <row r="207" spans="2:9" s="73" customFormat="1" x14ac:dyDescent="0.2">
      <c r="E207" s="94"/>
    </row>
    <row r="208" spans="2:9" s="73" customFormat="1" x14ac:dyDescent="0.2">
      <c r="E208" s="94"/>
    </row>
    <row r="209" spans="5:5" s="73" customFormat="1" x14ac:dyDescent="0.2">
      <c r="E209" s="94"/>
    </row>
    <row r="210" spans="5:5" s="73" customFormat="1" x14ac:dyDescent="0.2">
      <c r="E210" s="94"/>
    </row>
    <row r="211" spans="5:5" s="73" customFormat="1" x14ac:dyDescent="0.2">
      <c r="E211" s="94"/>
    </row>
    <row r="212" spans="5:5" s="10" customFormat="1" x14ac:dyDescent="0.2">
      <c r="E212" s="61"/>
    </row>
    <row r="213" spans="5:5" s="10" customFormat="1" x14ac:dyDescent="0.2">
      <c r="E213" s="61"/>
    </row>
    <row r="214" spans="5:5" s="10" customFormat="1" x14ac:dyDescent="0.2">
      <c r="E214" s="61"/>
    </row>
    <row r="215" spans="5:5" s="10" customFormat="1" x14ac:dyDescent="0.2">
      <c r="E215" s="61"/>
    </row>
    <row r="216" spans="5:5" s="10" customFormat="1" x14ac:dyDescent="0.2">
      <c r="E216" s="61"/>
    </row>
    <row r="217" spans="5:5" s="10" customFormat="1" x14ac:dyDescent="0.2">
      <c r="E217" s="61"/>
    </row>
    <row r="218" spans="5:5" s="10" customFormat="1" x14ac:dyDescent="0.2">
      <c r="E218" s="61"/>
    </row>
    <row r="219" spans="5:5" s="10" customFormat="1" x14ac:dyDescent="0.2">
      <c r="E219" s="61"/>
    </row>
    <row r="220" spans="5:5" s="10" customFormat="1" x14ac:dyDescent="0.2">
      <c r="E220" s="61"/>
    </row>
    <row r="221" spans="5:5" s="10" customFormat="1" x14ac:dyDescent="0.2">
      <c r="E221" s="61"/>
    </row>
    <row r="222" spans="5:5" s="10" customFormat="1" x14ac:dyDescent="0.2">
      <c r="E222" s="61"/>
    </row>
    <row r="223" spans="5:5" s="10" customFormat="1" x14ac:dyDescent="0.2">
      <c r="E223" s="61"/>
    </row>
    <row r="224" spans="5:5" s="10" customFormat="1" x14ac:dyDescent="0.2">
      <c r="E224" s="61"/>
    </row>
    <row r="225" spans="5:5" s="10" customFormat="1" x14ac:dyDescent="0.2">
      <c r="E225" s="61"/>
    </row>
    <row r="226" spans="5:5" s="10" customFormat="1" x14ac:dyDescent="0.2">
      <c r="E226" s="61"/>
    </row>
    <row r="227" spans="5:5" s="8" customFormat="1" x14ac:dyDescent="0.2">
      <c r="E227" s="85"/>
    </row>
    <row r="228" spans="5:5" s="8" customFormat="1" x14ac:dyDescent="0.2">
      <c r="E228" s="85"/>
    </row>
    <row r="229" spans="5:5" s="8" customFormat="1" x14ac:dyDescent="0.2">
      <c r="E229" s="85"/>
    </row>
    <row r="230" spans="5:5" s="8" customFormat="1" x14ac:dyDescent="0.2">
      <c r="E230" s="85"/>
    </row>
    <row r="231" spans="5:5" s="8" customFormat="1" x14ac:dyDescent="0.2">
      <c r="E231" s="85"/>
    </row>
    <row r="232" spans="5:5" s="8" customFormat="1" x14ac:dyDescent="0.2">
      <c r="E232" s="85"/>
    </row>
    <row r="233" spans="5:5" s="8" customFormat="1" x14ac:dyDescent="0.2">
      <c r="E233" s="85"/>
    </row>
    <row r="234" spans="5:5" s="8" customFormat="1" x14ac:dyDescent="0.2">
      <c r="E234" s="85"/>
    </row>
    <row r="235" spans="5:5" s="8" customFormat="1" x14ac:dyDescent="0.2">
      <c r="E235" s="85"/>
    </row>
    <row r="236" spans="5:5" s="8" customFormat="1" x14ac:dyDescent="0.2">
      <c r="E236" s="85"/>
    </row>
    <row r="237" spans="5:5" s="8" customFormat="1" x14ac:dyDescent="0.2">
      <c r="E237" s="85"/>
    </row>
    <row r="238" spans="5:5" s="8" customFormat="1" x14ac:dyDescent="0.2">
      <c r="E238" s="85"/>
    </row>
    <row r="239" spans="5:5" s="8" customFormat="1" x14ac:dyDescent="0.2">
      <c r="E239" s="85"/>
    </row>
    <row r="240" spans="5:5" s="8" customFormat="1" x14ac:dyDescent="0.2">
      <c r="E240" s="85"/>
    </row>
    <row r="241" spans="5:5" s="8" customFormat="1" x14ac:dyDescent="0.2">
      <c r="E241" s="85"/>
    </row>
    <row r="242" spans="5:5" s="8" customFormat="1" x14ac:dyDescent="0.2">
      <c r="E242" s="85"/>
    </row>
    <row r="243" spans="5:5" s="8" customFormat="1" x14ac:dyDescent="0.2">
      <c r="E243" s="85"/>
    </row>
    <row r="244" spans="5:5" s="8" customFormat="1" x14ac:dyDescent="0.2">
      <c r="E244" s="85"/>
    </row>
    <row r="245" spans="5:5" s="8" customFormat="1" x14ac:dyDescent="0.2">
      <c r="E245" s="85"/>
    </row>
    <row r="246" spans="5:5" s="8" customFormat="1" x14ac:dyDescent="0.2">
      <c r="E246" s="85"/>
    </row>
    <row r="247" spans="5:5" s="8" customFormat="1" x14ac:dyDescent="0.2">
      <c r="E247" s="85"/>
    </row>
    <row r="248" spans="5:5" s="8" customFormat="1" x14ac:dyDescent="0.2">
      <c r="E248" s="85"/>
    </row>
    <row r="249" spans="5:5" s="8" customFormat="1" x14ac:dyDescent="0.2">
      <c r="E249" s="85"/>
    </row>
    <row r="250" spans="5:5" s="8" customFormat="1" x14ac:dyDescent="0.2">
      <c r="E250" s="85"/>
    </row>
    <row r="251" spans="5:5" s="8" customFormat="1" x14ac:dyDescent="0.2">
      <c r="E251" s="85"/>
    </row>
    <row r="252" spans="5:5" s="8" customFormat="1" x14ac:dyDescent="0.2">
      <c r="E252" s="85"/>
    </row>
    <row r="253" spans="5:5" s="8" customFormat="1" x14ac:dyDescent="0.2">
      <c r="E253" s="85"/>
    </row>
    <row r="254" spans="5:5" s="8" customFormat="1" x14ac:dyDescent="0.2">
      <c r="E254" s="85"/>
    </row>
    <row r="255" spans="5:5" s="8" customFormat="1" x14ac:dyDescent="0.2">
      <c r="E255" s="85"/>
    </row>
    <row r="256" spans="5:5" s="8" customFormat="1" x14ac:dyDescent="0.2">
      <c r="E256" s="85"/>
    </row>
    <row r="257" spans="5:5" s="8" customFormat="1" x14ac:dyDescent="0.2">
      <c r="E257" s="85"/>
    </row>
    <row r="258" spans="5:5" s="8" customFormat="1" x14ac:dyDescent="0.2">
      <c r="E258" s="85"/>
    </row>
    <row r="259" spans="5:5" s="8" customFormat="1" x14ac:dyDescent="0.2">
      <c r="E259" s="85"/>
    </row>
    <row r="260" spans="5:5" s="8" customFormat="1" x14ac:dyDescent="0.2">
      <c r="E260" s="85"/>
    </row>
    <row r="261" spans="5:5" s="8" customFormat="1" x14ac:dyDescent="0.2">
      <c r="E261" s="85"/>
    </row>
    <row r="262" spans="5:5" s="8" customFormat="1" x14ac:dyDescent="0.2">
      <c r="E262" s="85"/>
    </row>
    <row r="263" spans="5:5" s="8" customFormat="1" x14ac:dyDescent="0.2">
      <c r="E263" s="85"/>
    </row>
    <row r="264" spans="5:5" s="8" customFormat="1" x14ac:dyDescent="0.2">
      <c r="E264" s="85"/>
    </row>
    <row r="265" spans="5:5" s="8" customFormat="1" x14ac:dyDescent="0.2">
      <c r="E265" s="85"/>
    </row>
    <row r="266" spans="5:5" s="8" customFormat="1" x14ac:dyDescent="0.2">
      <c r="E266" s="85"/>
    </row>
    <row r="267" spans="5:5" s="8" customFormat="1" x14ac:dyDescent="0.2">
      <c r="E267" s="85"/>
    </row>
    <row r="268" spans="5:5" s="8" customFormat="1" x14ac:dyDescent="0.2">
      <c r="E268" s="85"/>
    </row>
    <row r="269" spans="5:5" s="8" customFormat="1" x14ac:dyDescent="0.2">
      <c r="E269" s="85"/>
    </row>
    <row r="270" spans="5:5" s="8" customFormat="1" x14ac:dyDescent="0.2">
      <c r="E270" s="85"/>
    </row>
    <row r="271" spans="5:5" s="8" customFormat="1" x14ac:dyDescent="0.2">
      <c r="E271" s="85"/>
    </row>
    <row r="272" spans="5:5" s="8" customFormat="1" x14ac:dyDescent="0.2">
      <c r="E272" s="85"/>
    </row>
    <row r="273" spans="5:5" s="8" customFormat="1" x14ac:dyDescent="0.2">
      <c r="E273" s="85"/>
    </row>
    <row r="274" spans="5:5" s="8" customFormat="1" x14ac:dyDescent="0.2">
      <c r="E274" s="85"/>
    </row>
    <row r="275" spans="5:5" s="8" customFormat="1" x14ac:dyDescent="0.2">
      <c r="E275" s="85"/>
    </row>
    <row r="276" spans="5:5" s="8" customFormat="1" x14ac:dyDescent="0.2">
      <c r="E276" s="85"/>
    </row>
    <row r="277" spans="5:5" s="8" customFormat="1" x14ac:dyDescent="0.2">
      <c r="E277" s="85"/>
    </row>
    <row r="278" spans="5:5" s="8" customFormat="1" x14ac:dyDescent="0.2">
      <c r="E278" s="85"/>
    </row>
    <row r="279" spans="5:5" s="8" customFormat="1" x14ac:dyDescent="0.2">
      <c r="E279" s="85"/>
    </row>
    <row r="280" spans="5:5" s="8" customFormat="1" x14ac:dyDescent="0.2">
      <c r="E280" s="85"/>
    </row>
    <row r="281" spans="5:5" s="8" customFormat="1" x14ac:dyDescent="0.2">
      <c r="E281" s="85"/>
    </row>
    <row r="282" spans="5:5" s="8" customFormat="1" x14ac:dyDescent="0.2">
      <c r="E282" s="85"/>
    </row>
    <row r="283" spans="5:5" s="8" customFormat="1" x14ac:dyDescent="0.2">
      <c r="E283" s="85"/>
    </row>
    <row r="284" spans="5:5" s="8" customFormat="1" x14ac:dyDescent="0.2">
      <c r="E284" s="85"/>
    </row>
    <row r="285" spans="5:5" s="8" customFormat="1" x14ac:dyDescent="0.2">
      <c r="E285" s="85"/>
    </row>
    <row r="286" spans="5:5" s="8" customFormat="1" x14ac:dyDescent="0.2">
      <c r="E286" s="85"/>
    </row>
    <row r="287" spans="5:5" s="8" customFormat="1" x14ac:dyDescent="0.2">
      <c r="E287" s="85"/>
    </row>
    <row r="288" spans="5:5" s="8" customFormat="1" x14ac:dyDescent="0.2">
      <c r="E288" s="85"/>
    </row>
    <row r="289" spans="5:5" s="8" customFormat="1" x14ac:dyDescent="0.2">
      <c r="E289" s="85"/>
    </row>
    <row r="290" spans="5:5" s="8" customFormat="1" x14ac:dyDescent="0.2">
      <c r="E290" s="85"/>
    </row>
    <row r="291" spans="5:5" s="8" customFormat="1" x14ac:dyDescent="0.2">
      <c r="E291" s="85"/>
    </row>
    <row r="292" spans="5:5" s="8" customFormat="1" x14ac:dyDescent="0.2">
      <c r="E292" s="85"/>
    </row>
  </sheetData>
  <sheetProtection algorithmName="SHA-512" hashValue="/aKAL0Hjb1FJ2Nw7O6K+JZ82MdkdmWPoCZSU4Sre+NFsQBOifhw0H7TycX4z0JI5fx11LfBaPv6uv+F7eDgt8Q==" saltValue="b7gxfpg8CkGWD+C1wf6pDg==" spinCount="100000" sheet="1" objects="1" scenarios="1" formatCells="0" formatColumns="0" formatRows="0"/>
  <mergeCells count="80">
    <mergeCell ref="B157:C157"/>
    <mergeCell ref="B159:I159"/>
    <mergeCell ref="B79:I79"/>
    <mergeCell ref="B71:I71"/>
    <mergeCell ref="B119:C119"/>
    <mergeCell ref="B117:C117"/>
    <mergeCell ref="B114:C114"/>
    <mergeCell ref="B115:C115"/>
    <mergeCell ref="B109:C109"/>
    <mergeCell ref="B113:C113"/>
    <mergeCell ref="B116:C116"/>
    <mergeCell ref="B83:C83"/>
    <mergeCell ref="B89:C89"/>
    <mergeCell ref="B101:I101"/>
    <mergeCell ref="B120:C120"/>
    <mergeCell ref="B121:C121"/>
    <mergeCell ref="B122:C122"/>
    <mergeCell ref="B141:C141"/>
    <mergeCell ref="B133:C133"/>
    <mergeCell ref="B139:C139"/>
    <mergeCell ref="B103:I103"/>
    <mergeCell ref="B81:C81"/>
    <mergeCell ref="B85:C85"/>
    <mergeCell ref="B87:C87"/>
    <mergeCell ref="B91:C91"/>
    <mergeCell ref="B102:I102"/>
    <mergeCell ref="B197:D197"/>
    <mergeCell ref="B177:C177"/>
    <mergeCell ref="B181:C181"/>
    <mergeCell ref="B182:C182"/>
    <mergeCell ref="B183:C183"/>
    <mergeCell ref="B195:D195"/>
    <mergeCell ref="B167:C167"/>
    <mergeCell ref="B171:C171"/>
    <mergeCell ref="B161:C161"/>
    <mergeCell ref="B163:C163"/>
    <mergeCell ref="B169:C169"/>
    <mergeCell ref="B165:C165"/>
    <mergeCell ref="B155:C155"/>
    <mergeCell ref="B123:C123"/>
    <mergeCell ref="B129:I129"/>
    <mergeCell ref="B131:C131"/>
    <mergeCell ref="B151:I151"/>
    <mergeCell ref="B147:C147"/>
    <mergeCell ref="B145:C145"/>
    <mergeCell ref="B149:C149"/>
    <mergeCell ref="B143:C143"/>
    <mergeCell ref="B153:C153"/>
    <mergeCell ref="B59:C59"/>
    <mergeCell ref="B63:C63"/>
    <mergeCell ref="B73:C73"/>
    <mergeCell ref="B77:C77"/>
    <mergeCell ref="B65:C65"/>
    <mergeCell ref="B61:C61"/>
    <mergeCell ref="B75:C75"/>
    <mergeCell ref="B67:C67"/>
    <mergeCell ref="B69:C69"/>
    <mergeCell ref="B29:C29"/>
    <mergeCell ref="B5:I5"/>
    <mergeCell ref="B10:F10"/>
    <mergeCell ref="B15:I15"/>
    <mergeCell ref="B21:I21"/>
    <mergeCell ref="B23:I23"/>
    <mergeCell ref="B9:F9"/>
    <mergeCell ref="B12:I12"/>
    <mergeCell ref="B16:I16"/>
    <mergeCell ref="B22:I22"/>
    <mergeCell ref="B51:C51"/>
    <mergeCell ref="B53:C53"/>
    <mergeCell ref="B33:C33"/>
    <mergeCell ref="B36:C36"/>
    <mergeCell ref="B37:C37"/>
    <mergeCell ref="B39:C39"/>
    <mergeCell ref="B42:C42"/>
    <mergeCell ref="B43:C43"/>
    <mergeCell ref="B49:I49"/>
    <mergeCell ref="B34:C34"/>
    <mergeCell ref="B35:C35"/>
    <mergeCell ref="B40:C40"/>
    <mergeCell ref="B41:C41"/>
  </mergeCells>
  <hyperlinks>
    <hyperlink ref="B9" location="'PT8-treatd wood in service UC4a'!A_Transmission_pole" display="A) Transmission pole (ESD Table 4.19 p.78 &amp; Table 3.5, p.28/29)"/>
    <hyperlink ref="B10:C10" location="'PT8-treatd wood in service UC4b'!B__Sheet_piling_in_a_waterway" display="B) Sheet piling in a waterway (ESD Table 4.22 p.83 &amp; Table 3.8, p.33-34)"/>
    <hyperlink ref="B10:F10" location="'PT8-treatd wood in service UC4a'!B_Fence_post" display="B) Fence post (ESD Table 4.20 p.80 &amp; Table 3.8, p.33-34)"/>
    <hyperlink ref="B95" location="'PT8-treatd wood in service UC4a'!A1" display="Go to the top of the page"/>
    <hyperlink ref="B175" location="'PT8-treatd wood in service UC4a'!A1" display="Go to the top of the pag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36"/>
  <sheetViews>
    <sheetView zoomScale="84" zoomScaleNormal="84" workbookViewId="0"/>
  </sheetViews>
  <sheetFormatPr defaultColWidth="8.75" defaultRowHeight="12.75" x14ac:dyDescent="0.2"/>
  <cols>
    <col min="1" max="1" width="1.625" style="8" customWidth="1"/>
    <col min="2" max="2" width="35.625" style="11" customWidth="1"/>
    <col min="3" max="3" width="25.625" style="11" customWidth="1"/>
    <col min="4" max="4" width="1.625" style="11" customWidth="1"/>
    <col min="5" max="5" width="20.625" style="91" customWidth="1"/>
    <col min="6" max="6" width="15.625" style="11" customWidth="1"/>
    <col min="7" max="8" width="10.625" style="11" customWidth="1"/>
    <col min="9" max="9" width="55.625" style="11" customWidth="1"/>
    <col min="10" max="11" width="15.625" style="8" customWidth="1"/>
    <col min="12" max="60" width="8.75" style="8"/>
    <col min="61" max="16384" width="8.75" style="11"/>
  </cols>
  <sheetData>
    <row r="1" spans="1:60" x14ac:dyDescent="0.2">
      <c r="A1" s="10"/>
      <c r="B1" s="10"/>
      <c r="C1" s="10"/>
      <c r="D1" s="10"/>
      <c r="E1" s="61"/>
      <c r="F1" s="10"/>
      <c r="G1" s="10"/>
      <c r="H1" s="10"/>
      <c r="I1" s="10"/>
      <c r="J1" s="10"/>
      <c r="K1" s="10"/>
      <c r="L1" s="10"/>
    </row>
    <row r="2" spans="1:60" ht="20.25" x14ac:dyDescent="0.2">
      <c r="A2" s="10"/>
      <c r="B2" s="64" t="s">
        <v>35</v>
      </c>
      <c r="C2" s="65"/>
      <c r="D2" s="65"/>
      <c r="E2" s="66"/>
      <c r="F2" s="10"/>
      <c r="G2" s="10"/>
      <c r="H2" s="10"/>
      <c r="I2" s="10"/>
      <c r="J2" s="10"/>
      <c r="K2" s="10"/>
      <c r="L2" s="10"/>
    </row>
    <row r="3" spans="1:60" x14ac:dyDescent="0.2">
      <c r="A3" s="10"/>
      <c r="B3" s="67"/>
      <c r="C3" s="67"/>
      <c r="D3" s="67"/>
      <c r="E3" s="68"/>
      <c r="F3" s="10"/>
      <c r="G3" s="10"/>
      <c r="H3" s="10"/>
      <c r="I3" s="10"/>
      <c r="J3" s="10"/>
      <c r="K3" s="10"/>
      <c r="L3" s="10"/>
    </row>
    <row r="4" spans="1:60" ht="15" x14ac:dyDescent="0.2">
      <c r="A4" s="10"/>
      <c r="B4" s="69"/>
      <c r="C4" s="69"/>
      <c r="D4" s="69"/>
      <c r="E4" s="70"/>
      <c r="F4" s="10"/>
      <c r="G4" s="10"/>
      <c r="H4" s="10"/>
      <c r="I4" s="10"/>
      <c r="J4" s="10"/>
      <c r="K4" s="10"/>
      <c r="L4" s="10"/>
    </row>
    <row r="5" spans="1:60" ht="41.25" customHeight="1" x14ac:dyDescent="0.2">
      <c r="A5" s="10"/>
      <c r="B5" s="368" t="s">
        <v>738</v>
      </c>
      <c r="C5" s="368"/>
      <c r="D5" s="368"/>
      <c r="E5" s="368"/>
      <c r="F5" s="368"/>
      <c r="G5" s="368"/>
      <c r="H5" s="368"/>
      <c r="I5" s="368"/>
      <c r="J5" s="10"/>
      <c r="K5" s="10"/>
      <c r="L5" s="10"/>
    </row>
    <row r="6" spans="1:60" s="75" customFormat="1" ht="13.5" thickBot="1" x14ac:dyDescent="0.25">
      <c r="A6" s="73"/>
      <c r="B6" s="33"/>
      <c r="C6" s="33"/>
      <c r="D6" s="33"/>
      <c r="E6" s="40"/>
      <c r="F6" s="73"/>
      <c r="G6" s="73"/>
      <c r="H6" s="73"/>
      <c r="I6" s="73"/>
      <c r="J6" s="73"/>
      <c r="K6" s="73"/>
      <c r="L6" s="7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s="75" customFormat="1" ht="14.25" x14ac:dyDescent="0.2">
      <c r="A7" s="73"/>
      <c r="B7" s="172" t="s">
        <v>494</v>
      </c>
      <c r="C7" s="173"/>
      <c r="D7" s="173"/>
      <c r="E7" s="174"/>
      <c r="F7" s="175"/>
      <c r="G7" s="175"/>
      <c r="H7" s="175"/>
      <c r="I7" s="176"/>
      <c r="J7" s="73"/>
      <c r="K7" s="73"/>
      <c r="L7" s="73"/>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0" s="75" customFormat="1" x14ac:dyDescent="0.2">
      <c r="A8" s="73"/>
      <c r="B8" s="177"/>
      <c r="C8" s="33"/>
      <c r="D8" s="33"/>
      <c r="E8" s="40"/>
      <c r="F8" s="73"/>
      <c r="G8" s="73"/>
      <c r="H8" s="73"/>
      <c r="I8" s="149"/>
      <c r="J8" s="73"/>
      <c r="K8" s="73"/>
      <c r="L8" s="73"/>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1:60" s="75" customFormat="1" ht="15" x14ac:dyDescent="0.2">
      <c r="A9" s="73"/>
      <c r="B9" s="385" t="s">
        <v>627</v>
      </c>
      <c r="C9" s="386"/>
      <c r="D9" s="386"/>
      <c r="E9" s="386"/>
      <c r="F9" s="386"/>
      <c r="G9" s="73"/>
      <c r="H9" s="73"/>
      <c r="I9" s="149"/>
      <c r="J9" s="73"/>
      <c r="K9" s="73"/>
      <c r="L9" s="73"/>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s="75" customFormat="1" ht="15" x14ac:dyDescent="0.2">
      <c r="A10" s="73"/>
      <c r="B10" s="385" t="s">
        <v>622</v>
      </c>
      <c r="C10" s="386"/>
      <c r="D10" s="386"/>
      <c r="E10" s="386"/>
      <c r="F10" s="386"/>
      <c r="G10" s="73"/>
      <c r="H10" s="73"/>
      <c r="I10" s="149"/>
      <c r="J10" s="73"/>
      <c r="K10" s="73"/>
      <c r="L10" s="73"/>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60" s="75" customFormat="1" ht="15" thickBot="1" x14ac:dyDescent="0.25">
      <c r="A11" s="73"/>
      <c r="B11" s="189"/>
      <c r="C11" s="179"/>
      <c r="D11" s="179"/>
      <c r="E11" s="180"/>
      <c r="F11" s="181"/>
      <c r="G11" s="181"/>
      <c r="H11" s="181"/>
      <c r="I11" s="150"/>
      <c r="J11" s="73"/>
      <c r="K11" s="73"/>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60" s="75" customFormat="1" x14ac:dyDescent="0.2">
      <c r="A12" s="73"/>
      <c r="B12" s="188"/>
      <c r="C12" s="33"/>
      <c r="D12" s="33"/>
      <c r="E12" s="40"/>
      <c r="F12" s="73"/>
      <c r="G12" s="73"/>
      <c r="H12" s="73"/>
      <c r="I12" s="73"/>
      <c r="J12" s="73"/>
      <c r="K12" s="73"/>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60" s="75" customFormat="1" ht="14.25" x14ac:dyDescent="0.2">
      <c r="A13" s="73"/>
      <c r="B13" s="56" t="s">
        <v>493</v>
      </c>
      <c r="C13" s="57"/>
      <c r="D13" s="57"/>
      <c r="E13" s="58"/>
      <c r="F13" s="76"/>
      <c r="G13" s="76"/>
      <c r="H13" s="76"/>
      <c r="I13" s="76"/>
      <c r="J13" s="73"/>
      <c r="K13" s="73"/>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row>
    <row r="14" spans="1:60" s="8" customFormat="1" ht="33.75" customHeight="1" x14ac:dyDescent="0.2">
      <c r="B14" s="377" t="s">
        <v>885</v>
      </c>
      <c r="C14" s="372"/>
      <c r="D14" s="372"/>
      <c r="E14" s="372"/>
      <c r="F14" s="372"/>
      <c r="G14" s="372"/>
      <c r="H14" s="372"/>
      <c r="I14" s="372"/>
      <c r="J14" s="42"/>
      <c r="K14" s="42"/>
      <c r="L14" s="42"/>
    </row>
    <row r="15" spans="1:60" s="8" customFormat="1" ht="80.25" customHeight="1" x14ac:dyDescent="0.2">
      <c r="B15" s="377" t="s">
        <v>889</v>
      </c>
      <c r="C15" s="372"/>
      <c r="D15" s="372"/>
      <c r="E15" s="372"/>
      <c r="F15" s="372"/>
      <c r="G15" s="372"/>
      <c r="H15" s="372"/>
      <c r="I15" s="372"/>
      <c r="J15" s="42"/>
      <c r="K15" s="42"/>
      <c r="L15" s="42"/>
    </row>
    <row r="16" spans="1:60" s="79" customFormat="1" x14ac:dyDescent="0.2">
      <c r="B16" s="73"/>
      <c r="C16" s="109"/>
      <c r="G16" s="89"/>
      <c r="H16" s="74"/>
      <c r="I16" s="108"/>
    </row>
    <row r="17" spans="1:65" s="207" customFormat="1" ht="15" x14ac:dyDescent="0.2">
      <c r="A17" s="205"/>
      <c r="B17" s="201" t="s">
        <v>627</v>
      </c>
      <c r="C17" s="203"/>
      <c r="D17" s="204"/>
      <c r="E17" s="204"/>
      <c r="F17" s="205"/>
      <c r="G17" s="205"/>
      <c r="H17" s="205"/>
      <c r="I17" s="205"/>
      <c r="J17" s="205"/>
      <c r="K17" s="205"/>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row>
    <row r="18" spans="1:65" ht="15" x14ac:dyDescent="0.2">
      <c r="A18" s="10"/>
      <c r="B18" s="73"/>
      <c r="C18" s="18"/>
      <c r="D18" s="31"/>
      <c r="E18" s="31"/>
      <c r="F18" s="31"/>
      <c r="G18" s="31"/>
      <c r="H18" s="31"/>
      <c r="I18" s="31"/>
      <c r="J18" s="10"/>
      <c r="K18" s="10"/>
      <c r="L18" s="10"/>
      <c r="M18" s="10"/>
      <c r="BI18" s="8"/>
    </row>
    <row r="19" spans="1:65" x14ac:dyDescent="0.2">
      <c r="A19" s="10"/>
      <c r="B19" s="82" t="s">
        <v>19</v>
      </c>
      <c r="C19" s="82"/>
      <c r="D19" s="82"/>
      <c r="E19" s="77"/>
      <c r="F19" s="77"/>
      <c r="G19" s="77"/>
      <c r="H19" s="77"/>
      <c r="I19" s="83"/>
      <c r="AS19" s="11"/>
      <c r="AT19" s="11"/>
      <c r="AU19" s="11"/>
      <c r="AV19" s="11"/>
      <c r="AW19" s="11"/>
      <c r="AX19" s="11"/>
      <c r="AY19" s="11"/>
      <c r="AZ19" s="11"/>
      <c r="BA19" s="11"/>
      <c r="BB19" s="11"/>
      <c r="BC19" s="11"/>
      <c r="BD19" s="11"/>
      <c r="BE19" s="11"/>
      <c r="BF19" s="11"/>
      <c r="BG19" s="11"/>
      <c r="BH19" s="11"/>
    </row>
    <row r="20" spans="1:65" ht="14.25" x14ac:dyDescent="0.2">
      <c r="A20" s="10"/>
      <c r="B20" s="94" t="s">
        <v>734</v>
      </c>
      <c r="C20" s="262"/>
      <c r="D20" s="262"/>
      <c r="E20" s="262"/>
      <c r="F20" s="262"/>
      <c r="G20" s="262"/>
      <c r="H20" s="262"/>
      <c r="I20" s="262"/>
      <c r="AS20" s="11"/>
      <c r="AT20" s="11"/>
      <c r="AU20" s="11"/>
      <c r="AV20" s="11"/>
      <c r="AW20" s="11"/>
      <c r="AX20" s="11"/>
      <c r="AY20" s="11"/>
      <c r="AZ20" s="11"/>
      <c r="BA20" s="11"/>
      <c r="BB20" s="11"/>
      <c r="BC20" s="11"/>
      <c r="BD20" s="11"/>
      <c r="BE20" s="11"/>
      <c r="BF20" s="11"/>
      <c r="BG20" s="11"/>
      <c r="BH20" s="11"/>
    </row>
    <row r="21" spans="1:65" x14ac:dyDescent="0.2">
      <c r="A21" s="10"/>
      <c r="B21" s="366" t="s">
        <v>975</v>
      </c>
      <c r="C21" s="366"/>
      <c r="D21" s="366"/>
      <c r="E21" s="366"/>
      <c r="F21" s="366"/>
      <c r="G21" s="366"/>
      <c r="H21" s="366"/>
      <c r="I21" s="366"/>
      <c r="AS21" s="11"/>
      <c r="AT21" s="11"/>
      <c r="AU21" s="11"/>
      <c r="AV21" s="11"/>
      <c r="AW21" s="11"/>
      <c r="AX21" s="11"/>
      <c r="AY21" s="11"/>
      <c r="AZ21" s="11"/>
      <c r="BA21" s="11"/>
      <c r="BB21" s="11"/>
      <c r="BC21" s="11"/>
      <c r="BD21" s="11"/>
      <c r="BE21" s="11"/>
      <c r="BF21" s="11"/>
      <c r="BG21" s="11"/>
      <c r="BH21" s="11"/>
    </row>
    <row r="22" spans="1:65" x14ac:dyDescent="0.2">
      <c r="A22" s="10"/>
      <c r="B22" s="366" t="s">
        <v>278</v>
      </c>
      <c r="C22" s="366"/>
      <c r="D22" s="366"/>
      <c r="E22" s="366"/>
      <c r="F22" s="366"/>
      <c r="G22" s="366"/>
      <c r="H22" s="366"/>
      <c r="I22" s="366"/>
      <c r="J22" s="10"/>
      <c r="K22" s="10"/>
      <c r="L22" s="10"/>
      <c r="M22" s="10"/>
      <c r="N22" s="10"/>
      <c r="O22" s="10"/>
      <c r="P22" s="10"/>
      <c r="Q22" s="10"/>
      <c r="BI22" s="8"/>
      <c r="BJ22" s="8"/>
      <c r="BK22" s="8"/>
      <c r="BL22" s="8"/>
      <c r="BM22" s="8"/>
    </row>
    <row r="23" spans="1:65" s="8" customFormat="1" ht="3" customHeight="1" x14ac:dyDescent="0.2">
      <c r="A23" s="10"/>
      <c r="D23" s="31"/>
      <c r="E23" s="32"/>
      <c r="F23" s="84"/>
      <c r="G23" s="84"/>
      <c r="H23" s="84"/>
      <c r="I23" s="10"/>
      <c r="J23" s="10"/>
      <c r="K23" s="10"/>
      <c r="L23" s="10"/>
    </row>
    <row r="24" spans="1:65" ht="15" x14ac:dyDescent="0.2">
      <c r="A24" s="10"/>
      <c r="B24" s="4" t="s">
        <v>0</v>
      </c>
      <c r="C24" s="4"/>
      <c r="D24" s="4"/>
      <c r="E24" s="12"/>
      <c r="F24" s="12"/>
      <c r="G24" s="12"/>
      <c r="H24" s="12"/>
      <c r="I24" s="13"/>
      <c r="AS24" s="11"/>
      <c r="AT24" s="11"/>
      <c r="AU24" s="11"/>
      <c r="AV24" s="11"/>
      <c r="AW24" s="11"/>
      <c r="AX24" s="11"/>
      <c r="AY24" s="11"/>
      <c r="AZ24" s="11"/>
      <c r="BA24" s="11"/>
      <c r="BB24" s="11"/>
      <c r="BC24" s="11"/>
      <c r="BD24" s="11"/>
      <c r="BE24" s="11"/>
      <c r="BF24" s="11"/>
      <c r="BG24" s="11"/>
      <c r="BH24" s="11"/>
    </row>
    <row r="25" spans="1:65" x14ac:dyDescent="0.2">
      <c r="A25" s="10"/>
      <c r="B25" s="6"/>
      <c r="C25" s="6"/>
      <c r="D25" s="6"/>
      <c r="E25" s="6"/>
      <c r="F25" s="6"/>
      <c r="G25" s="6"/>
      <c r="H25" s="6"/>
      <c r="I25" s="22"/>
      <c r="AS25" s="11"/>
      <c r="AT25" s="11"/>
      <c r="AU25" s="11"/>
      <c r="AV25" s="11"/>
      <c r="AW25" s="11"/>
      <c r="AX25" s="11"/>
      <c r="AY25" s="11"/>
      <c r="AZ25" s="11"/>
      <c r="BA25" s="11"/>
      <c r="BB25" s="11"/>
      <c r="BC25" s="11"/>
      <c r="BD25" s="11"/>
      <c r="BE25" s="11"/>
      <c r="BF25" s="11"/>
      <c r="BG25" s="11"/>
      <c r="BH25" s="11"/>
    </row>
    <row r="26" spans="1:65" ht="15" x14ac:dyDescent="0.2">
      <c r="A26" s="10"/>
      <c r="B26" s="14" t="s">
        <v>2</v>
      </c>
      <c r="C26" s="14"/>
      <c r="D26" s="14"/>
      <c r="E26" s="15" t="s">
        <v>4</v>
      </c>
      <c r="F26" s="16" t="s">
        <v>7</v>
      </c>
      <c r="G26" s="16" t="s">
        <v>3</v>
      </c>
      <c r="H26" s="16" t="s">
        <v>11</v>
      </c>
      <c r="I26" s="15" t="s">
        <v>34</v>
      </c>
      <c r="AS26" s="11"/>
      <c r="AT26" s="11"/>
      <c r="AU26" s="11"/>
      <c r="AV26" s="11"/>
      <c r="AW26" s="11"/>
      <c r="AX26" s="11"/>
      <c r="AY26" s="11"/>
      <c r="AZ26" s="11"/>
      <c r="BA26" s="11"/>
      <c r="BB26" s="11"/>
      <c r="BC26" s="11"/>
      <c r="BD26" s="11"/>
      <c r="BE26" s="11"/>
      <c r="BF26" s="11"/>
      <c r="BG26" s="11"/>
      <c r="BH26" s="11"/>
    </row>
    <row r="27" spans="1:65" x14ac:dyDescent="0.2">
      <c r="A27" s="10"/>
      <c r="B27" s="185"/>
      <c r="C27" s="14"/>
      <c r="D27" s="14"/>
      <c r="E27" s="15"/>
      <c r="F27" s="16"/>
      <c r="G27" s="16"/>
      <c r="H27" s="16"/>
      <c r="I27" s="15"/>
      <c r="AS27" s="11"/>
      <c r="AT27" s="11"/>
      <c r="AU27" s="11"/>
      <c r="AV27" s="11"/>
      <c r="AW27" s="11"/>
      <c r="AX27" s="11"/>
      <c r="AY27" s="11"/>
      <c r="AZ27" s="11"/>
      <c r="BA27" s="11"/>
      <c r="BB27" s="11"/>
      <c r="BC27" s="11"/>
      <c r="BD27" s="11"/>
      <c r="BE27" s="11"/>
      <c r="BF27" s="11"/>
      <c r="BG27" s="11"/>
      <c r="BH27" s="11"/>
    </row>
    <row r="28" spans="1:65" ht="15" x14ac:dyDescent="0.2">
      <c r="A28" s="10"/>
      <c r="B28" s="362" t="s">
        <v>234</v>
      </c>
      <c r="C28" s="362"/>
      <c r="D28" s="14"/>
      <c r="E28" s="30" t="s">
        <v>235</v>
      </c>
      <c r="F28" s="272">
        <v>16.2</v>
      </c>
      <c r="G28" s="7" t="s">
        <v>14</v>
      </c>
      <c r="H28" s="7" t="s">
        <v>13</v>
      </c>
      <c r="I28" s="15"/>
      <c r="AS28" s="11"/>
      <c r="AT28" s="11"/>
      <c r="AU28" s="11"/>
      <c r="AV28" s="11"/>
      <c r="AW28" s="11"/>
      <c r="AX28" s="11"/>
      <c r="AY28" s="11"/>
      <c r="AZ28" s="11"/>
      <c r="BA28" s="11"/>
      <c r="BB28" s="11"/>
      <c r="BC28" s="11"/>
      <c r="BD28" s="11"/>
      <c r="BE28" s="11"/>
      <c r="BF28" s="11"/>
      <c r="BG28" s="11"/>
      <c r="BH28" s="11"/>
    </row>
    <row r="29" spans="1:65" ht="5.0999999999999996" customHeight="1" x14ac:dyDescent="0.2">
      <c r="A29" s="10"/>
      <c r="B29" s="185"/>
      <c r="C29" s="185"/>
      <c r="D29" s="14"/>
      <c r="E29" s="30"/>
      <c r="F29" s="272"/>
      <c r="G29" s="7"/>
      <c r="H29" s="7"/>
      <c r="I29" s="15"/>
      <c r="AS29" s="11"/>
      <c r="AT29" s="11"/>
      <c r="AU29" s="11"/>
      <c r="AV29" s="11"/>
      <c r="AW29" s="11"/>
      <c r="AX29" s="11"/>
      <c r="AY29" s="11"/>
      <c r="AZ29" s="11"/>
      <c r="BA29" s="11"/>
      <c r="BB29" s="11"/>
      <c r="BC29" s="11"/>
      <c r="BD29" s="11"/>
      <c r="BE29" s="11"/>
      <c r="BF29" s="11"/>
      <c r="BG29" s="11"/>
      <c r="BH29" s="11"/>
    </row>
    <row r="30" spans="1:65" ht="15" x14ac:dyDescent="0.2">
      <c r="A30" s="10"/>
      <c r="B30" s="185" t="s">
        <v>233</v>
      </c>
      <c r="C30" s="185"/>
      <c r="D30" s="14"/>
      <c r="E30" s="30" t="s">
        <v>236</v>
      </c>
      <c r="F30" s="272">
        <v>10</v>
      </c>
      <c r="G30" s="7" t="s">
        <v>14</v>
      </c>
      <c r="H30" s="7" t="s">
        <v>13</v>
      </c>
      <c r="I30" s="15"/>
      <c r="AS30" s="11"/>
      <c r="AT30" s="11"/>
      <c r="AU30" s="11"/>
      <c r="AV30" s="11"/>
      <c r="AW30" s="11"/>
      <c r="AX30" s="11"/>
      <c r="AY30" s="11"/>
      <c r="AZ30" s="11"/>
      <c r="BA30" s="11"/>
      <c r="BB30" s="11"/>
      <c r="BC30" s="11"/>
      <c r="BD30" s="11"/>
      <c r="BE30" s="11"/>
      <c r="BF30" s="11"/>
      <c r="BG30" s="11"/>
      <c r="BH30" s="11"/>
    </row>
    <row r="31" spans="1:65" ht="5.0999999999999996" customHeight="1" x14ac:dyDescent="0.2">
      <c r="A31" s="10"/>
      <c r="B31" s="185"/>
      <c r="C31" s="14"/>
      <c r="D31" s="14"/>
      <c r="E31" s="15"/>
      <c r="F31" s="275"/>
      <c r="G31" s="7"/>
      <c r="H31" s="7"/>
      <c r="I31" s="15"/>
      <c r="AS31" s="11"/>
      <c r="AT31" s="11"/>
      <c r="AU31" s="11"/>
      <c r="AV31" s="11"/>
      <c r="AW31" s="11"/>
      <c r="AX31" s="11"/>
      <c r="AY31" s="11"/>
      <c r="AZ31" s="11"/>
      <c r="BA31" s="11"/>
      <c r="BB31" s="11"/>
      <c r="BC31" s="11"/>
      <c r="BD31" s="11"/>
      <c r="BE31" s="11"/>
      <c r="BF31" s="11"/>
      <c r="BG31" s="11"/>
      <c r="BH31" s="11"/>
    </row>
    <row r="32" spans="1:65" s="8" customFormat="1" x14ac:dyDescent="0.2">
      <c r="B32" s="362" t="s">
        <v>72</v>
      </c>
      <c r="C32" s="362"/>
      <c r="D32" s="34"/>
      <c r="E32" s="185" t="s">
        <v>73</v>
      </c>
      <c r="F32" s="273">
        <v>30</v>
      </c>
      <c r="G32" s="7" t="s">
        <v>10</v>
      </c>
      <c r="H32" s="7" t="s">
        <v>13</v>
      </c>
      <c r="I32" s="34"/>
    </row>
    <row r="33" spans="2:9" s="8" customFormat="1" ht="5.0999999999999996" customHeight="1" x14ac:dyDescent="0.2">
      <c r="B33" s="362"/>
      <c r="C33" s="362"/>
      <c r="D33" s="34"/>
      <c r="E33" s="22"/>
      <c r="F33" s="273"/>
      <c r="G33" s="19"/>
      <c r="H33" s="7"/>
      <c r="I33" s="34"/>
    </row>
    <row r="34" spans="2:9" s="8" customFormat="1" ht="39.950000000000003" customHeight="1" x14ac:dyDescent="0.2">
      <c r="B34" s="362" t="s">
        <v>721</v>
      </c>
      <c r="C34" s="362"/>
      <c r="D34" s="34"/>
      <c r="E34" s="22" t="s">
        <v>75</v>
      </c>
      <c r="F34" s="273">
        <v>365</v>
      </c>
      <c r="G34" s="19" t="s">
        <v>10</v>
      </c>
      <c r="H34" s="7" t="s">
        <v>13</v>
      </c>
      <c r="I34" s="146" t="s">
        <v>966</v>
      </c>
    </row>
    <row r="35" spans="2:9" s="8" customFormat="1" ht="5.0999999999999996" customHeight="1" x14ac:dyDescent="0.2">
      <c r="B35" s="362"/>
      <c r="C35" s="362"/>
      <c r="D35" s="34"/>
      <c r="E35" s="22"/>
      <c r="F35" s="273"/>
      <c r="G35" s="19"/>
      <c r="H35" s="7"/>
      <c r="I35" s="34"/>
    </row>
    <row r="36" spans="2:9" s="8" customFormat="1" x14ac:dyDescent="0.2">
      <c r="B36" s="362" t="s">
        <v>675</v>
      </c>
      <c r="C36" s="362"/>
      <c r="D36" s="34"/>
      <c r="E36" s="22" t="s">
        <v>676</v>
      </c>
      <c r="F36" s="273">
        <v>7300</v>
      </c>
      <c r="G36" s="19" t="s">
        <v>10</v>
      </c>
      <c r="H36" s="7" t="s">
        <v>13</v>
      </c>
      <c r="I36" s="92" t="s">
        <v>614</v>
      </c>
    </row>
    <row r="37" spans="2:9" s="8" customFormat="1" ht="5.0999999999999996" customHeight="1" x14ac:dyDescent="0.2">
      <c r="B37" s="185"/>
      <c r="C37" s="185"/>
      <c r="D37" s="185"/>
      <c r="E37" s="30"/>
      <c r="F37" s="273"/>
      <c r="G37" s="7"/>
      <c r="H37" s="7"/>
      <c r="I37" s="7"/>
    </row>
    <row r="38" spans="2:9" s="8" customFormat="1" ht="32.25" customHeight="1" x14ac:dyDescent="0.2">
      <c r="B38" s="362" t="s">
        <v>193</v>
      </c>
      <c r="C38" s="362"/>
      <c r="D38" s="34"/>
      <c r="E38" s="185" t="s">
        <v>194</v>
      </c>
      <c r="F38" s="274"/>
      <c r="G38" s="19" t="s">
        <v>813</v>
      </c>
      <c r="H38" s="7" t="s">
        <v>6</v>
      </c>
      <c r="I38" s="34"/>
    </row>
    <row r="39" spans="2:9" s="8" customFormat="1" ht="5.0999999999999996" customHeight="1" x14ac:dyDescent="0.2">
      <c r="B39" s="362"/>
      <c r="C39" s="362"/>
      <c r="D39" s="34"/>
      <c r="E39" s="22"/>
      <c r="F39" s="273"/>
      <c r="G39" s="19"/>
      <c r="H39" s="7"/>
      <c r="I39" s="34"/>
    </row>
    <row r="40" spans="2:9" s="8" customFormat="1" ht="27" customHeight="1" x14ac:dyDescent="0.2">
      <c r="B40" s="362" t="s">
        <v>683</v>
      </c>
      <c r="C40" s="362"/>
      <c r="D40" s="34"/>
      <c r="E40" s="290" t="s">
        <v>196</v>
      </c>
      <c r="F40" s="274"/>
      <c r="G40" s="19" t="s">
        <v>813</v>
      </c>
      <c r="H40" s="7" t="s">
        <v>6</v>
      </c>
      <c r="I40" s="92"/>
    </row>
    <row r="41" spans="2:9" s="8" customFormat="1" ht="5.0999999999999996" customHeight="1" x14ac:dyDescent="0.2">
      <c r="B41" s="362"/>
      <c r="C41" s="362"/>
      <c r="D41" s="34"/>
      <c r="E41" s="22"/>
      <c r="F41" s="273"/>
      <c r="G41" s="19"/>
      <c r="H41" s="7"/>
      <c r="I41" s="34"/>
    </row>
    <row r="42" spans="2:9" s="8" customFormat="1" ht="27" customHeight="1" x14ac:dyDescent="0.2">
      <c r="B42" s="362" t="s">
        <v>195</v>
      </c>
      <c r="C42" s="362"/>
      <c r="D42" s="34"/>
      <c r="E42" s="185" t="s">
        <v>684</v>
      </c>
      <c r="F42" s="274"/>
      <c r="G42" s="19" t="s">
        <v>813</v>
      </c>
      <c r="H42" s="7" t="s">
        <v>6</v>
      </c>
      <c r="I42" s="92"/>
    </row>
    <row r="43" spans="2:9" s="8" customFormat="1" ht="5.0999999999999996" customHeight="1" x14ac:dyDescent="0.2">
      <c r="B43" s="185"/>
      <c r="C43" s="185"/>
      <c r="D43" s="34"/>
      <c r="E43" s="22"/>
      <c r="F43" s="273"/>
      <c r="G43" s="19"/>
      <c r="H43" s="7"/>
      <c r="I43" s="34"/>
    </row>
    <row r="44" spans="2:9" s="8" customFormat="1" ht="15" x14ac:dyDescent="0.2">
      <c r="B44" s="185" t="s">
        <v>239</v>
      </c>
      <c r="C44" s="185"/>
      <c r="D44" s="34"/>
      <c r="E44" s="22" t="s">
        <v>178</v>
      </c>
      <c r="F44" s="277">
        <v>16000</v>
      </c>
      <c r="G44" s="7" t="s">
        <v>24</v>
      </c>
      <c r="H44" s="7" t="s">
        <v>13</v>
      </c>
      <c r="I44" s="107"/>
    </row>
    <row r="45" spans="2:9" s="8" customFormat="1" x14ac:dyDescent="0.2">
      <c r="B45" s="185"/>
      <c r="C45" s="185"/>
      <c r="D45" s="34"/>
      <c r="E45" s="22"/>
      <c r="F45" s="7"/>
      <c r="G45" s="19"/>
      <c r="H45" s="7"/>
      <c r="I45" s="34"/>
    </row>
    <row r="46" spans="2:9" s="8" customFormat="1" x14ac:dyDescent="0.2">
      <c r="B46" s="244" t="s">
        <v>606</v>
      </c>
      <c r="C46" s="244"/>
      <c r="D46" s="34"/>
      <c r="E46" s="22"/>
      <c r="F46" s="7"/>
      <c r="G46" s="19"/>
      <c r="H46" s="7"/>
      <c r="I46" s="34"/>
    </row>
    <row r="47" spans="2:9" s="8" customFormat="1" x14ac:dyDescent="0.2">
      <c r="B47" s="261"/>
      <c r="C47" s="261"/>
      <c r="D47" s="34"/>
      <c r="E47" s="22"/>
      <c r="F47" s="7"/>
      <c r="G47" s="19"/>
      <c r="H47" s="7"/>
      <c r="I47" s="34"/>
    </row>
    <row r="48" spans="2:9" s="8" customFormat="1" ht="15" x14ac:dyDescent="0.2">
      <c r="B48" s="362" t="s">
        <v>478</v>
      </c>
      <c r="C48" s="362"/>
      <c r="D48" s="34"/>
      <c r="E48" s="22" t="s">
        <v>653</v>
      </c>
      <c r="F48" s="274"/>
      <c r="G48" s="19" t="s">
        <v>443</v>
      </c>
      <c r="H48" s="7" t="s">
        <v>6</v>
      </c>
      <c r="I48" s="34"/>
    </row>
    <row r="49" spans="1:60" s="8" customFormat="1" x14ac:dyDescent="0.2">
      <c r="B49" s="261"/>
      <c r="C49" s="261"/>
      <c r="D49" s="34"/>
      <c r="E49" s="22"/>
      <c r="F49" s="7"/>
      <c r="G49" s="19"/>
      <c r="H49" s="7"/>
      <c r="I49" s="34"/>
    </row>
    <row r="50" spans="1:60" ht="15" x14ac:dyDescent="0.2">
      <c r="A50" s="10"/>
      <c r="B50" s="4" t="s">
        <v>1</v>
      </c>
      <c r="C50" s="4"/>
      <c r="D50" s="4"/>
      <c r="E50" s="4"/>
      <c r="F50" s="12"/>
      <c r="G50" s="12"/>
      <c r="H50" s="12"/>
      <c r="I50" s="12"/>
      <c r="AT50" s="11"/>
      <c r="AU50" s="11"/>
      <c r="AV50" s="11"/>
      <c r="AW50" s="11"/>
      <c r="AX50" s="11"/>
      <c r="AY50" s="11"/>
      <c r="AZ50" s="11"/>
      <c r="BA50" s="11"/>
      <c r="BB50" s="11"/>
      <c r="BC50" s="11"/>
      <c r="BD50" s="11"/>
      <c r="BE50" s="11"/>
      <c r="BF50" s="11"/>
      <c r="BG50" s="11"/>
      <c r="BH50" s="11"/>
    </row>
    <row r="51" spans="1:60" x14ac:dyDescent="0.2">
      <c r="A51" s="10"/>
      <c r="B51" s="6"/>
      <c r="C51" s="6"/>
      <c r="D51" s="6"/>
      <c r="E51" s="6"/>
      <c r="F51" s="6"/>
      <c r="G51" s="6"/>
      <c r="H51" s="6"/>
      <c r="I51" s="6"/>
      <c r="AT51" s="11"/>
      <c r="AU51" s="11"/>
      <c r="AV51" s="11"/>
      <c r="AW51" s="11"/>
      <c r="AX51" s="11"/>
      <c r="AY51" s="11"/>
      <c r="AZ51" s="11"/>
      <c r="BA51" s="11"/>
      <c r="BB51" s="11"/>
      <c r="BC51" s="11"/>
      <c r="BD51" s="11"/>
      <c r="BE51" s="11"/>
      <c r="BF51" s="11"/>
      <c r="BG51" s="11"/>
      <c r="BH51" s="11"/>
    </row>
    <row r="52" spans="1:60" ht="15" x14ac:dyDescent="0.2">
      <c r="A52" s="10"/>
      <c r="B52" s="14" t="s">
        <v>2</v>
      </c>
      <c r="C52" s="14"/>
      <c r="D52" s="14"/>
      <c r="E52" s="15" t="s">
        <v>4</v>
      </c>
      <c r="F52" s="16" t="s">
        <v>7</v>
      </c>
      <c r="G52" s="16" t="s">
        <v>3</v>
      </c>
      <c r="H52" s="16" t="s">
        <v>11</v>
      </c>
      <c r="I52" s="15" t="s">
        <v>34</v>
      </c>
      <c r="AT52" s="11"/>
      <c r="AU52" s="11"/>
      <c r="AV52" s="11"/>
      <c r="AW52" s="11"/>
      <c r="AX52" s="11"/>
      <c r="AY52" s="11"/>
      <c r="AZ52" s="11"/>
      <c r="BA52" s="11"/>
      <c r="BB52" s="11"/>
      <c r="BC52" s="11"/>
      <c r="BD52" s="11"/>
      <c r="BE52" s="11"/>
      <c r="BF52" s="11"/>
      <c r="BG52" s="11"/>
      <c r="BH52" s="11"/>
    </row>
    <row r="53" spans="1:60" x14ac:dyDescent="0.2">
      <c r="A53" s="10"/>
      <c r="B53" s="14"/>
      <c r="C53" s="14"/>
      <c r="D53" s="14"/>
      <c r="E53" s="15"/>
      <c r="F53" s="16"/>
      <c r="G53" s="16"/>
      <c r="H53" s="16"/>
      <c r="I53" s="15"/>
      <c r="AT53" s="11"/>
      <c r="AU53" s="11"/>
      <c r="AV53" s="11"/>
      <c r="AW53" s="11"/>
      <c r="AX53" s="11"/>
      <c r="AY53" s="11"/>
      <c r="AZ53" s="11"/>
      <c r="BA53" s="11"/>
      <c r="BB53" s="11"/>
      <c r="BC53" s="11"/>
      <c r="BD53" s="11"/>
      <c r="BE53" s="11"/>
      <c r="BF53" s="11"/>
      <c r="BG53" s="11"/>
      <c r="BH53" s="11"/>
    </row>
    <row r="54" spans="1:60" s="8" customFormat="1" ht="25.5" customHeight="1" x14ac:dyDescent="0.2">
      <c r="A54" s="10"/>
      <c r="B54" s="362" t="s">
        <v>198</v>
      </c>
      <c r="C54" s="362"/>
      <c r="D54" s="30"/>
      <c r="E54" s="30" t="s">
        <v>202</v>
      </c>
      <c r="F54" s="228" t="str">
        <f>IF(ISNUMBER(Q_leach_TIME1_jetty),(AREAplanks+AREApoles)*Q_leach_TIME1_jetty,"??")</f>
        <v>??</v>
      </c>
      <c r="G54" s="19" t="s">
        <v>794</v>
      </c>
      <c r="H54" s="7" t="s">
        <v>8</v>
      </c>
      <c r="I54" s="126" t="s">
        <v>244</v>
      </c>
    </row>
    <row r="55" spans="1:60" s="8" customFormat="1" ht="3" customHeight="1" x14ac:dyDescent="0.2">
      <c r="A55" s="10"/>
      <c r="B55" s="290"/>
      <c r="C55" s="290"/>
      <c r="D55" s="290"/>
      <c r="E55" s="30"/>
      <c r="F55" s="30"/>
      <c r="G55" s="19"/>
      <c r="H55" s="7"/>
      <c r="I55" s="20"/>
    </row>
    <row r="56" spans="1:60" s="8" customFormat="1" ht="27" customHeight="1" x14ac:dyDescent="0.2">
      <c r="A56" s="10"/>
      <c r="B56" s="362" t="s">
        <v>729</v>
      </c>
      <c r="C56" s="362"/>
      <c r="D56" s="30"/>
      <c r="E56" s="30" t="s">
        <v>203</v>
      </c>
      <c r="F56" s="228" t="str">
        <f>IF(ISNUMBER(Q_leach_TIME2_jetty),(AREAplanks+AREApoles)*Q_leach_TIME2_jetty,"??")</f>
        <v>??</v>
      </c>
      <c r="G56" s="19" t="s">
        <v>794</v>
      </c>
      <c r="H56" s="7" t="s">
        <v>8</v>
      </c>
      <c r="I56" s="126" t="s">
        <v>245</v>
      </c>
    </row>
    <row r="57" spans="1:60" s="8" customFormat="1" ht="3" customHeight="1" x14ac:dyDescent="0.2">
      <c r="A57" s="10"/>
      <c r="B57" s="185"/>
      <c r="C57" s="185"/>
      <c r="D57" s="185"/>
      <c r="E57" s="30"/>
      <c r="F57" s="30"/>
      <c r="G57" s="19"/>
      <c r="H57" s="7"/>
      <c r="I57" s="20"/>
    </row>
    <row r="58" spans="1:60" s="8" customFormat="1" ht="27" customHeight="1" x14ac:dyDescent="0.2">
      <c r="A58" s="10"/>
      <c r="B58" s="362" t="s">
        <v>199</v>
      </c>
      <c r="C58" s="362"/>
      <c r="D58" s="30"/>
      <c r="E58" s="30" t="s">
        <v>678</v>
      </c>
      <c r="F58" s="228" t="str">
        <f>IF(ISNUMBER(Q_leach_TIME3_jetty),(AREAplanks+AREApoles)*Q_leach_TIME3_jetty,"??")</f>
        <v>??</v>
      </c>
      <c r="G58" s="19" t="s">
        <v>794</v>
      </c>
      <c r="H58" s="7" t="s">
        <v>8</v>
      </c>
      <c r="I58" s="126" t="s">
        <v>730</v>
      </c>
    </row>
    <row r="59" spans="1:60" s="8" customFormat="1" x14ac:dyDescent="0.2">
      <c r="A59" s="10"/>
      <c r="B59" s="346"/>
      <c r="C59" s="346"/>
      <c r="D59" s="30"/>
      <c r="E59" s="30"/>
      <c r="F59" s="30"/>
      <c r="G59" s="19"/>
      <c r="H59" s="7"/>
      <c r="I59" s="126"/>
    </row>
    <row r="60" spans="1:60" s="8" customFormat="1" ht="15" customHeight="1" x14ac:dyDescent="0.2">
      <c r="A60" s="10"/>
      <c r="B60" s="363" t="s">
        <v>479</v>
      </c>
      <c r="C60" s="363"/>
      <c r="D60" s="167"/>
      <c r="E60" s="167" t="s">
        <v>502</v>
      </c>
      <c r="F60" s="228" t="str">
        <f>IF(ISNUMBER(Q_leach_TIME1_jetty),(AREAplanks+AREApoles)*Q_leach_TIME1_jetty/TIME1_jetty,"??")</f>
        <v>??</v>
      </c>
      <c r="G60" s="19" t="s">
        <v>814</v>
      </c>
      <c r="H60" s="19" t="s">
        <v>8</v>
      </c>
      <c r="I60" s="146" t="s">
        <v>508</v>
      </c>
    </row>
    <row r="61" spans="1:60" s="8" customFormat="1" ht="3" customHeight="1" x14ac:dyDescent="0.2">
      <c r="A61" s="10"/>
      <c r="B61" s="293"/>
      <c r="C61" s="293"/>
      <c r="D61" s="293"/>
      <c r="E61" s="167"/>
      <c r="F61" s="198"/>
      <c r="G61" s="19"/>
      <c r="H61" s="19"/>
      <c r="I61" s="146"/>
    </row>
    <row r="62" spans="1:60" s="8" customFormat="1" ht="24.75" customHeight="1" x14ac:dyDescent="0.2">
      <c r="A62" s="10"/>
      <c r="B62" s="363" t="s">
        <v>732</v>
      </c>
      <c r="C62" s="363"/>
      <c r="D62" s="293"/>
      <c r="E62" s="167" t="s">
        <v>503</v>
      </c>
      <c r="F62" s="228" t="str">
        <f>IF(ISNUMBER(Q_leach_TIME2_jetty),(AREAplanks+AREApoles)*Q_leach_TIME2_jetty/TIME2_jetty,"??")</f>
        <v>??</v>
      </c>
      <c r="G62" s="19" t="s">
        <v>814</v>
      </c>
      <c r="H62" s="19" t="s">
        <v>8</v>
      </c>
      <c r="I62" s="146" t="s">
        <v>621</v>
      </c>
    </row>
    <row r="63" spans="1:60" s="8" customFormat="1" ht="3" customHeight="1" x14ac:dyDescent="0.2">
      <c r="A63" s="10"/>
      <c r="B63" s="264"/>
      <c r="C63" s="264"/>
      <c r="D63" s="264"/>
      <c r="E63" s="167"/>
      <c r="F63" s="198"/>
      <c r="G63" s="19"/>
      <c r="H63" s="19"/>
      <c r="I63" s="146"/>
    </row>
    <row r="64" spans="1:60" s="8" customFormat="1" ht="14.65" customHeight="1" x14ac:dyDescent="0.2">
      <c r="A64" s="10"/>
      <c r="B64" s="363" t="s">
        <v>480</v>
      </c>
      <c r="C64" s="363"/>
      <c r="D64" s="264"/>
      <c r="E64" s="167" t="s">
        <v>713</v>
      </c>
      <c r="F64" s="228" t="str">
        <f>IF(ISNUMBER(Q_leach_TIME3_jetty),(AREAplanks+AREApoles)*Q_leach_TIME3_jetty/TIME3_jetty,"??")</f>
        <v>??</v>
      </c>
      <c r="G64" s="19" t="s">
        <v>814</v>
      </c>
      <c r="H64" s="19" t="s">
        <v>8</v>
      </c>
      <c r="I64" s="146" t="s">
        <v>733</v>
      </c>
    </row>
    <row r="65" spans="1:66" s="8" customFormat="1" ht="14.65" customHeight="1" x14ac:dyDescent="0.2">
      <c r="A65" s="10"/>
      <c r="B65" s="347"/>
      <c r="C65" s="347"/>
      <c r="D65" s="347"/>
      <c r="E65" s="167"/>
      <c r="F65" s="167"/>
      <c r="G65" s="19"/>
      <c r="H65" s="19"/>
      <c r="I65" s="146"/>
    </row>
    <row r="66" spans="1:66" ht="15" x14ac:dyDescent="0.2">
      <c r="A66" s="10"/>
      <c r="B66" s="382" t="s">
        <v>596</v>
      </c>
      <c r="C66" s="382"/>
      <c r="D66" s="382"/>
      <c r="E66" s="382"/>
      <c r="F66" s="382"/>
      <c r="G66" s="382"/>
      <c r="H66" s="382"/>
      <c r="I66" s="382"/>
      <c r="AT66" s="11"/>
      <c r="AU66" s="11"/>
      <c r="AV66" s="11"/>
      <c r="AW66" s="11"/>
      <c r="AX66" s="11"/>
      <c r="AY66" s="11"/>
      <c r="AZ66" s="11"/>
      <c r="BA66" s="11"/>
      <c r="BB66" s="11"/>
      <c r="BC66" s="11"/>
      <c r="BD66" s="11"/>
      <c r="BE66" s="11"/>
      <c r="BF66" s="11"/>
      <c r="BG66" s="11"/>
      <c r="BH66" s="11"/>
    </row>
    <row r="67" spans="1:66" x14ac:dyDescent="0.2">
      <c r="A67" s="10"/>
      <c r="B67" s="14"/>
      <c r="C67" s="14"/>
      <c r="D67" s="14"/>
      <c r="E67" s="15"/>
      <c r="F67" s="16"/>
      <c r="G67" s="16"/>
      <c r="H67" s="16"/>
      <c r="I67" s="15"/>
      <c r="AT67" s="11"/>
      <c r="AU67" s="11"/>
      <c r="AV67" s="11"/>
      <c r="AW67" s="11"/>
      <c r="AX67" s="11"/>
      <c r="AY67" s="11"/>
      <c r="AZ67" s="11"/>
      <c r="BA67" s="11"/>
      <c r="BB67" s="11"/>
      <c r="BC67" s="11"/>
      <c r="BD67" s="11"/>
      <c r="BE67" s="11"/>
      <c r="BF67" s="11"/>
      <c r="BG67" s="11"/>
      <c r="BH67" s="11"/>
    </row>
    <row r="68" spans="1:66" s="8" customFormat="1" ht="15" x14ac:dyDescent="0.2">
      <c r="A68" s="10"/>
      <c r="B68" s="362" t="s">
        <v>240</v>
      </c>
      <c r="C68" s="362"/>
      <c r="D68" s="30"/>
      <c r="E68" s="30" t="s">
        <v>229</v>
      </c>
      <c r="F68" s="228" t="str">
        <f>IF(ISNUMBER(QleachTIME1_jetty),QleachTIME1_jetty*0.001/Vwater_jetty,"??")</f>
        <v>??</v>
      </c>
      <c r="G68" s="19" t="s">
        <v>810</v>
      </c>
      <c r="H68" s="7" t="s">
        <v>8</v>
      </c>
      <c r="I68" s="41" t="s">
        <v>822</v>
      </c>
    </row>
    <row r="69" spans="1:66" s="8" customFormat="1" ht="3" customHeight="1" x14ac:dyDescent="0.2">
      <c r="A69" s="10"/>
      <c r="B69" s="290"/>
      <c r="C69" s="290"/>
      <c r="D69" s="290"/>
      <c r="E69" s="30"/>
      <c r="F69" s="30"/>
      <c r="G69" s="19"/>
      <c r="H69" s="7"/>
      <c r="I69" s="41"/>
    </row>
    <row r="70" spans="1:66" s="8" customFormat="1" ht="24.75" customHeight="1" x14ac:dyDescent="0.2">
      <c r="A70" s="10"/>
      <c r="B70" s="362" t="s">
        <v>707</v>
      </c>
      <c r="C70" s="362"/>
      <c r="D70" s="30"/>
      <c r="E70" s="30" t="s">
        <v>230</v>
      </c>
      <c r="F70" s="228" t="str">
        <f>IF(ISNUMBER(QleachTIME2_jetty),QleachTIME2_jetty*0.001/Vwater_jetty,"??")</f>
        <v>??</v>
      </c>
      <c r="G70" s="19" t="s">
        <v>810</v>
      </c>
      <c r="H70" s="7" t="s">
        <v>8</v>
      </c>
      <c r="I70" s="41" t="s">
        <v>823</v>
      </c>
    </row>
    <row r="71" spans="1:66" s="8" customFormat="1" ht="3" customHeight="1" x14ac:dyDescent="0.2">
      <c r="A71" s="10"/>
      <c r="B71" s="185"/>
      <c r="C71" s="185"/>
      <c r="D71" s="185"/>
      <c r="E71" s="30"/>
      <c r="F71" s="30"/>
      <c r="G71" s="19"/>
      <c r="H71" s="7"/>
      <c r="I71" s="41"/>
    </row>
    <row r="72" spans="1:66" s="8" customFormat="1" ht="15" x14ac:dyDescent="0.2">
      <c r="A72" s="10"/>
      <c r="B72" s="362" t="s">
        <v>241</v>
      </c>
      <c r="C72" s="362"/>
      <c r="D72" s="30"/>
      <c r="E72" s="30" t="s">
        <v>708</v>
      </c>
      <c r="F72" s="228" t="str">
        <f>IF(ISNUMBER(QleachTIME3_jetty),QleachTIME3_jetty*0.001/Vwater_jetty,"??")</f>
        <v>??</v>
      </c>
      <c r="G72" s="19" t="s">
        <v>810</v>
      </c>
      <c r="H72" s="7" t="s">
        <v>8</v>
      </c>
      <c r="I72" s="41" t="s">
        <v>824</v>
      </c>
    </row>
    <row r="73" spans="1:66" s="8" customFormat="1" x14ac:dyDescent="0.2">
      <c r="A73" s="10"/>
      <c r="B73" s="185"/>
      <c r="C73" s="185"/>
      <c r="D73" s="185"/>
      <c r="E73" s="30"/>
      <c r="F73" s="16"/>
      <c r="G73" s="7"/>
      <c r="H73" s="7"/>
      <c r="I73" s="20"/>
    </row>
    <row r="74" spans="1:66" s="8" customFormat="1" ht="15" x14ac:dyDescent="0.2">
      <c r="A74" s="10"/>
      <c r="B74" s="382" t="s">
        <v>605</v>
      </c>
      <c r="C74" s="382"/>
      <c r="D74" s="382"/>
      <c r="E74" s="382"/>
      <c r="F74" s="382"/>
      <c r="G74" s="382"/>
      <c r="H74" s="382"/>
      <c r="I74" s="382"/>
      <c r="J74" s="192"/>
      <c r="AT74" s="10"/>
      <c r="AU74" s="10"/>
      <c r="AV74" s="10"/>
      <c r="AW74" s="10"/>
      <c r="AX74" s="10"/>
      <c r="AY74" s="10"/>
      <c r="AZ74" s="10"/>
      <c r="BA74" s="10"/>
      <c r="BB74" s="10"/>
      <c r="BC74" s="10"/>
      <c r="BD74" s="10"/>
      <c r="BE74" s="10"/>
      <c r="BF74" s="10"/>
      <c r="BG74" s="10"/>
      <c r="BH74" s="10"/>
      <c r="BI74" s="10"/>
      <c r="BJ74" s="10"/>
      <c r="BK74" s="10"/>
      <c r="BL74" s="10"/>
      <c r="BM74" s="10"/>
      <c r="BN74" s="10"/>
    </row>
    <row r="75" spans="1:66" s="8" customFormat="1" x14ac:dyDescent="0.2">
      <c r="A75" s="10"/>
      <c r="B75" s="263"/>
      <c r="C75" s="263"/>
      <c r="D75" s="263"/>
      <c r="E75" s="263"/>
      <c r="F75" s="263"/>
      <c r="G75" s="7"/>
      <c r="H75" s="7"/>
      <c r="I75" s="20"/>
    </row>
    <row r="76" spans="1:66" ht="30.75" x14ac:dyDescent="0.2">
      <c r="B76" s="362" t="s">
        <v>240</v>
      </c>
      <c r="C76" s="362"/>
      <c r="D76" s="14"/>
      <c r="E76" s="167" t="s">
        <v>504</v>
      </c>
      <c r="F76" s="228" t="str">
        <f>IF(AND(ISNUMBER(Ewater_leach_TIME1_jetty),ISNUMBER(kwater_jetty)),(Ewater_leach_TIME1_jetty*0.001/(Vwater_jetty*kwater_jetty))*(1-(1-EXP(-TIME1_jetty*kwater_jetty))/(kwater_jetty*TIME1_jetty)),"??")</f>
        <v>??</v>
      </c>
      <c r="G76" s="19" t="s">
        <v>810</v>
      </c>
      <c r="H76" s="19" t="s">
        <v>8</v>
      </c>
      <c r="I76" s="146" t="s">
        <v>819</v>
      </c>
    </row>
    <row r="77" spans="1:66" ht="3" customHeight="1" x14ac:dyDescent="0.2">
      <c r="B77" s="346"/>
      <c r="C77" s="346"/>
      <c r="D77" s="14"/>
      <c r="E77" s="167"/>
      <c r="F77" s="198"/>
      <c r="G77" s="19"/>
      <c r="H77" s="19"/>
      <c r="I77" s="146"/>
    </row>
    <row r="78" spans="1:66" ht="30.75" x14ac:dyDescent="0.2">
      <c r="B78" s="362" t="s">
        <v>707</v>
      </c>
      <c r="C78" s="362"/>
      <c r="D78" s="14"/>
      <c r="E78" s="167" t="s">
        <v>505</v>
      </c>
      <c r="F78" s="228" t="str">
        <f>IF(AND(ISNUMBER(Ewater_leach_TIME2_jetty),ISNUMBER(kwater_jetty)),(Ewater_leach_TIME2_jetty*0.001/(Vwater_jetty*kwater_jetty))*(1-(1-EXP(-TIME2_jetty*kwater_jetty))/(kwater_jetty*TIME2_jetty)),"??")</f>
        <v>??</v>
      </c>
      <c r="G78" s="19" t="s">
        <v>810</v>
      </c>
      <c r="H78" s="19" t="s">
        <v>8</v>
      </c>
      <c r="I78" s="146" t="s">
        <v>820</v>
      </c>
    </row>
    <row r="79" spans="1:66" ht="3" customHeight="1" x14ac:dyDescent="0.2">
      <c r="B79" s="346"/>
      <c r="C79" s="346"/>
      <c r="D79" s="14"/>
      <c r="E79" s="167"/>
      <c r="F79" s="198"/>
      <c r="G79" s="19"/>
      <c r="H79" s="19"/>
      <c r="I79" s="146"/>
    </row>
    <row r="80" spans="1:66" ht="30.75" x14ac:dyDescent="0.2">
      <c r="B80" s="362" t="s">
        <v>241</v>
      </c>
      <c r="C80" s="362"/>
      <c r="D80" s="14"/>
      <c r="E80" s="167" t="s">
        <v>716</v>
      </c>
      <c r="F80" s="228" t="str">
        <f>IF(AND(ISNUMBER(Ewater_leach_TIME3_jetty),ISNUMBER(kwater_jetty)),(Ewater_leach_TIME3_jetty*0.001/(Vwater_jetty*kwater_jetty))*(1-(1-EXP(-TIME3_jetty*kwater_jetty))/(kwater_jetty*TIME3_jetty)),"??")</f>
        <v>??</v>
      </c>
      <c r="G80" s="19" t="s">
        <v>810</v>
      </c>
      <c r="H80" s="19" t="s">
        <v>8</v>
      </c>
      <c r="I80" s="146" t="s">
        <v>821</v>
      </c>
    </row>
    <row r="81" spans="1:65" s="8" customFormat="1" x14ac:dyDescent="0.2">
      <c r="A81" s="10"/>
      <c r="B81" s="200"/>
      <c r="C81" s="200"/>
      <c r="D81" s="200"/>
      <c r="E81" s="200"/>
      <c r="F81" s="198"/>
      <c r="G81" s="19"/>
      <c r="H81" s="197"/>
      <c r="I81" s="199"/>
    </row>
    <row r="82" spans="1:65" s="8" customFormat="1" x14ac:dyDescent="0.2">
      <c r="B82" s="86" t="s">
        <v>12</v>
      </c>
      <c r="C82" s="86"/>
      <c r="F82" s="87"/>
      <c r="G82" s="88"/>
      <c r="H82" s="74"/>
      <c r="I82" s="85"/>
    </row>
    <row r="83" spans="1:65" s="8" customFormat="1" x14ac:dyDescent="0.2">
      <c r="B83" s="86"/>
      <c r="C83" s="86"/>
      <c r="F83" s="87"/>
      <c r="G83" s="88"/>
      <c r="H83" s="74"/>
      <c r="I83" s="85"/>
    </row>
    <row r="84" spans="1:65" s="73" customFormat="1" x14ac:dyDescent="0.2">
      <c r="B84" s="307" t="s">
        <v>818</v>
      </c>
      <c r="C84" s="115"/>
      <c r="G84" s="94"/>
      <c r="I84" s="94"/>
    </row>
    <row r="85" spans="1:65" s="73" customFormat="1" x14ac:dyDescent="0.2">
      <c r="D85" s="33"/>
      <c r="E85" s="40"/>
    </row>
    <row r="86" spans="1:65" s="73" customFormat="1" x14ac:dyDescent="0.2">
      <c r="D86" s="33"/>
      <c r="E86" s="40"/>
    </row>
    <row r="87" spans="1:65" ht="15" x14ac:dyDescent="0.2">
      <c r="A87" s="10"/>
      <c r="B87" s="201" t="s">
        <v>622</v>
      </c>
      <c r="C87" s="80"/>
      <c r="D87" s="81"/>
      <c r="E87" s="81"/>
      <c r="F87" s="10"/>
      <c r="G87" s="10"/>
      <c r="H87" s="10"/>
      <c r="I87" s="10"/>
      <c r="J87" s="10"/>
      <c r="K87" s="10"/>
      <c r="BH87" s="11"/>
    </row>
    <row r="88" spans="1:65" ht="15" x14ac:dyDescent="0.2">
      <c r="A88" s="10"/>
      <c r="B88" s="73"/>
      <c r="C88" s="18"/>
      <c r="D88" s="31"/>
      <c r="E88" s="31"/>
      <c r="F88" s="31"/>
      <c r="G88" s="31"/>
      <c r="H88" s="31"/>
      <c r="I88" s="31"/>
      <c r="J88" s="10"/>
      <c r="K88" s="10"/>
      <c r="L88" s="10"/>
      <c r="M88" s="10"/>
      <c r="BI88" s="8"/>
    </row>
    <row r="89" spans="1:65" x14ac:dyDescent="0.2">
      <c r="A89" s="10"/>
      <c r="B89" s="82" t="s">
        <v>19</v>
      </c>
      <c r="C89" s="82"/>
      <c r="D89" s="82"/>
      <c r="E89" s="77"/>
      <c r="F89" s="77"/>
      <c r="G89" s="77"/>
      <c r="H89" s="77"/>
      <c r="I89" s="83"/>
      <c r="AS89" s="11"/>
      <c r="AT89" s="11"/>
      <c r="AU89" s="11"/>
      <c r="AV89" s="11"/>
      <c r="AW89" s="11"/>
      <c r="AX89" s="11"/>
      <c r="AY89" s="11"/>
      <c r="AZ89" s="11"/>
      <c r="BA89" s="11"/>
      <c r="BB89" s="11"/>
      <c r="BC89" s="11"/>
      <c r="BD89" s="11"/>
      <c r="BE89" s="11"/>
      <c r="BF89" s="11"/>
      <c r="BG89" s="11"/>
      <c r="BH89" s="11"/>
    </row>
    <row r="90" spans="1:65" ht="14.25" x14ac:dyDescent="0.2">
      <c r="A90" s="10"/>
      <c r="B90" s="94" t="s">
        <v>734</v>
      </c>
      <c r="C90" s="291"/>
      <c r="D90" s="291"/>
      <c r="E90" s="291"/>
      <c r="F90" s="291"/>
      <c r="G90" s="291"/>
      <c r="H90" s="291"/>
      <c r="I90" s="291"/>
      <c r="AS90" s="11"/>
      <c r="AT90" s="11"/>
      <c r="AU90" s="11"/>
      <c r="AV90" s="11"/>
      <c r="AW90" s="11"/>
      <c r="AX90" s="11"/>
      <c r="AY90" s="11"/>
      <c r="AZ90" s="11"/>
      <c r="BA90" s="11"/>
      <c r="BB90" s="11"/>
      <c r="BC90" s="11"/>
      <c r="BD90" s="11"/>
      <c r="BE90" s="11"/>
      <c r="BF90" s="11"/>
      <c r="BG90" s="11"/>
      <c r="BH90" s="11"/>
    </row>
    <row r="91" spans="1:65" x14ac:dyDescent="0.2">
      <c r="A91" s="10"/>
      <c r="B91" s="366" t="s">
        <v>975</v>
      </c>
      <c r="C91" s="366"/>
      <c r="D91" s="366"/>
      <c r="E91" s="366"/>
      <c r="F91" s="366"/>
      <c r="G91" s="366"/>
      <c r="H91" s="366"/>
      <c r="I91" s="366"/>
      <c r="AS91" s="11"/>
      <c r="AT91" s="11"/>
      <c r="AU91" s="11"/>
      <c r="AV91" s="11"/>
      <c r="AW91" s="11"/>
      <c r="AX91" s="11"/>
      <c r="AY91" s="11"/>
      <c r="AZ91" s="11"/>
      <c r="BA91" s="11"/>
      <c r="BB91" s="11"/>
      <c r="BC91" s="11"/>
      <c r="BD91" s="11"/>
      <c r="BE91" s="11"/>
      <c r="BF91" s="11"/>
      <c r="BG91" s="11"/>
      <c r="BH91" s="11"/>
    </row>
    <row r="92" spans="1:65" x14ac:dyDescent="0.2">
      <c r="A92" s="10"/>
      <c r="B92" s="366" t="s">
        <v>278</v>
      </c>
      <c r="C92" s="366"/>
      <c r="D92" s="366"/>
      <c r="E92" s="366"/>
      <c r="F92" s="366"/>
      <c r="G92" s="366"/>
      <c r="H92" s="366"/>
      <c r="I92" s="366"/>
      <c r="J92" s="10"/>
      <c r="K92" s="10"/>
      <c r="L92" s="10"/>
      <c r="M92" s="10"/>
      <c r="N92" s="10"/>
      <c r="O92" s="10"/>
      <c r="P92" s="10"/>
      <c r="Q92" s="10"/>
      <c r="BI92" s="8"/>
      <c r="BJ92" s="8"/>
      <c r="BK92" s="8"/>
      <c r="BL92" s="8"/>
      <c r="BM92" s="8"/>
    </row>
    <row r="93" spans="1:65" s="8" customFormat="1" ht="3" customHeight="1" x14ac:dyDescent="0.2">
      <c r="A93" s="10"/>
      <c r="D93" s="31"/>
      <c r="E93" s="32"/>
      <c r="F93" s="84"/>
      <c r="G93" s="84"/>
      <c r="H93" s="84"/>
      <c r="I93" s="10"/>
      <c r="J93" s="10"/>
      <c r="K93" s="10"/>
      <c r="L93" s="10"/>
    </row>
    <row r="94" spans="1:65" ht="15" x14ac:dyDescent="0.2">
      <c r="A94" s="10"/>
      <c r="B94" s="4" t="s">
        <v>0</v>
      </c>
      <c r="C94" s="4"/>
      <c r="D94" s="4"/>
      <c r="E94" s="12"/>
      <c r="F94" s="12"/>
      <c r="G94" s="12"/>
      <c r="H94" s="12"/>
      <c r="I94" s="13"/>
      <c r="AS94" s="11"/>
      <c r="AT94" s="11"/>
      <c r="AU94" s="11"/>
      <c r="AV94" s="11"/>
      <c r="AW94" s="11"/>
      <c r="AX94" s="11"/>
      <c r="AY94" s="11"/>
      <c r="AZ94" s="11"/>
      <c r="BA94" s="11"/>
      <c r="BB94" s="11"/>
      <c r="BC94" s="11"/>
      <c r="BD94" s="11"/>
      <c r="BE94" s="11"/>
      <c r="BF94" s="11"/>
      <c r="BG94" s="11"/>
      <c r="BH94" s="11"/>
    </row>
    <row r="95" spans="1:65" x14ac:dyDescent="0.2">
      <c r="A95" s="10"/>
      <c r="B95" s="6"/>
      <c r="C95" s="6"/>
      <c r="D95" s="6"/>
      <c r="E95" s="6"/>
      <c r="F95" s="6"/>
      <c r="G95" s="6"/>
      <c r="H95" s="6"/>
      <c r="I95" s="22"/>
      <c r="AS95" s="11"/>
      <c r="AT95" s="11"/>
      <c r="AU95" s="11"/>
      <c r="AV95" s="11"/>
      <c r="AW95" s="11"/>
      <c r="AX95" s="11"/>
      <c r="AY95" s="11"/>
      <c r="AZ95" s="11"/>
      <c r="BA95" s="11"/>
      <c r="BB95" s="11"/>
      <c r="BC95" s="11"/>
      <c r="BD95" s="11"/>
      <c r="BE95" s="11"/>
      <c r="BF95" s="11"/>
      <c r="BG95" s="11"/>
      <c r="BH95" s="11"/>
    </row>
    <row r="96" spans="1:65" ht="15" x14ac:dyDescent="0.2">
      <c r="A96" s="10"/>
      <c r="B96" s="14" t="s">
        <v>2</v>
      </c>
      <c r="C96" s="14"/>
      <c r="D96" s="14"/>
      <c r="E96" s="15" t="s">
        <v>4</v>
      </c>
      <c r="F96" s="16" t="s">
        <v>7</v>
      </c>
      <c r="G96" s="16" t="s">
        <v>3</v>
      </c>
      <c r="H96" s="16" t="s">
        <v>11</v>
      </c>
      <c r="I96" s="15" t="s">
        <v>34</v>
      </c>
      <c r="AS96" s="11"/>
      <c r="AT96" s="11"/>
      <c r="AU96" s="11"/>
      <c r="AV96" s="11"/>
      <c r="AW96" s="11"/>
      <c r="AX96" s="11"/>
      <c r="AY96" s="11"/>
      <c r="AZ96" s="11"/>
      <c r="BA96" s="11"/>
      <c r="BB96" s="11"/>
      <c r="BC96" s="11"/>
      <c r="BD96" s="11"/>
      <c r="BE96" s="11"/>
      <c r="BF96" s="11"/>
      <c r="BG96" s="11"/>
      <c r="BH96" s="11"/>
    </row>
    <row r="97" spans="1:60" x14ac:dyDescent="0.2">
      <c r="A97" s="10"/>
      <c r="B97" s="185"/>
      <c r="C97" s="14"/>
      <c r="D97" s="14"/>
      <c r="E97" s="15"/>
      <c r="F97" s="16"/>
      <c r="G97" s="16"/>
      <c r="H97" s="16"/>
      <c r="I97" s="15"/>
      <c r="AS97" s="11"/>
      <c r="AT97" s="11"/>
      <c r="AU97" s="11"/>
      <c r="AV97" s="11"/>
      <c r="AW97" s="11"/>
      <c r="AX97" s="11"/>
      <c r="AY97" s="11"/>
      <c r="AZ97" s="11"/>
      <c r="BA97" s="11"/>
      <c r="BB97" s="11"/>
      <c r="BC97" s="11"/>
      <c r="BD97" s="11"/>
      <c r="BE97" s="11"/>
      <c r="BF97" s="11"/>
      <c r="BG97" s="11"/>
      <c r="BH97" s="11"/>
    </row>
    <row r="98" spans="1:60" ht="15" x14ac:dyDescent="0.2">
      <c r="A98" s="10"/>
      <c r="B98" s="362" t="s">
        <v>246</v>
      </c>
      <c r="C98" s="362"/>
      <c r="D98" s="14"/>
      <c r="E98" s="30" t="s">
        <v>236</v>
      </c>
      <c r="F98" s="272">
        <v>4.71</v>
      </c>
      <c r="G98" s="7" t="s">
        <v>14</v>
      </c>
      <c r="H98" s="7" t="s">
        <v>13</v>
      </c>
      <c r="I98" s="15"/>
      <c r="AS98" s="11"/>
      <c r="AT98" s="11"/>
      <c r="AU98" s="11"/>
      <c r="AV98" s="11"/>
      <c r="AW98" s="11"/>
      <c r="AX98" s="11"/>
      <c r="AY98" s="11"/>
      <c r="AZ98" s="11"/>
      <c r="BA98" s="11"/>
      <c r="BB98" s="11"/>
      <c r="BC98" s="11"/>
      <c r="BD98" s="11"/>
      <c r="BE98" s="11"/>
      <c r="BF98" s="11"/>
      <c r="BG98" s="11"/>
      <c r="BH98" s="11"/>
    </row>
    <row r="99" spans="1:60" ht="5.0999999999999996" customHeight="1" x14ac:dyDescent="0.2">
      <c r="A99" s="10"/>
      <c r="B99" s="185"/>
      <c r="C99" s="185"/>
      <c r="D99" s="14"/>
      <c r="E99" s="30"/>
      <c r="F99" s="272"/>
      <c r="G99" s="7"/>
      <c r="H99" s="7"/>
      <c r="I99" s="15"/>
      <c r="AS99" s="11"/>
      <c r="AT99" s="11"/>
      <c r="AU99" s="11"/>
      <c r="AV99" s="11"/>
      <c r="AW99" s="11"/>
      <c r="AX99" s="11"/>
      <c r="AY99" s="11"/>
      <c r="AZ99" s="11"/>
      <c r="BA99" s="11"/>
      <c r="BB99" s="11"/>
      <c r="BC99" s="11"/>
      <c r="BD99" s="11"/>
      <c r="BE99" s="11"/>
      <c r="BF99" s="11"/>
      <c r="BG99" s="11"/>
      <c r="BH99" s="11"/>
    </row>
    <row r="100" spans="1:60" s="8" customFormat="1" x14ac:dyDescent="0.2">
      <c r="B100" s="362" t="s">
        <v>72</v>
      </c>
      <c r="C100" s="362"/>
      <c r="D100" s="34"/>
      <c r="E100" s="185" t="s">
        <v>73</v>
      </c>
      <c r="F100" s="273">
        <v>30</v>
      </c>
      <c r="G100" s="7" t="s">
        <v>10</v>
      </c>
      <c r="H100" s="7" t="s">
        <v>13</v>
      </c>
      <c r="I100" s="34"/>
    </row>
    <row r="101" spans="1:60" s="8" customFormat="1" ht="5.0999999999999996" customHeight="1" x14ac:dyDescent="0.2">
      <c r="B101" s="362"/>
      <c r="C101" s="362"/>
      <c r="D101" s="34"/>
      <c r="E101" s="22"/>
      <c r="F101" s="273"/>
      <c r="G101" s="19"/>
      <c r="H101" s="7"/>
      <c r="I101" s="34"/>
    </row>
    <row r="102" spans="1:60" s="8" customFormat="1" ht="39.950000000000003" customHeight="1" x14ac:dyDescent="0.2">
      <c r="B102" s="362" t="s">
        <v>721</v>
      </c>
      <c r="C102" s="362"/>
      <c r="D102" s="34"/>
      <c r="E102" s="22" t="s">
        <v>75</v>
      </c>
      <c r="F102" s="273">
        <v>365</v>
      </c>
      <c r="G102" s="19" t="s">
        <v>10</v>
      </c>
      <c r="H102" s="7" t="s">
        <v>13</v>
      </c>
      <c r="I102" s="146" t="s">
        <v>966</v>
      </c>
    </row>
    <row r="103" spans="1:60" s="8" customFormat="1" ht="5.0999999999999996" customHeight="1" x14ac:dyDescent="0.2">
      <c r="B103" s="362"/>
      <c r="C103" s="362"/>
      <c r="D103" s="34"/>
      <c r="E103" s="22"/>
      <c r="F103" s="273"/>
      <c r="G103" s="19"/>
      <c r="H103" s="7"/>
      <c r="I103" s="34"/>
    </row>
    <row r="104" spans="1:60" s="8" customFormat="1" x14ac:dyDescent="0.2">
      <c r="B104" s="362" t="s">
        <v>74</v>
      </c>
      <c r="C104" s="362"/>
      <c r="D104" s="34"/>
      <c r="E104" s="22" t="s">
        <v>676</v>
      </c>
      <c r="F104" s="273">
        <v>7300</v>
      </c>
      <c r="G104" s="19" t="s">
        <v>10</v>
      </c>
      <c r="H104" s="7" t="s">
        <v>13</v>
      </c>
      <c r="I104" s="92" t="s">
        <v>614</v>
      </c>
    </row>
    <row r="105" spans="1:60" s="8" customFormat="1" ht="5.0999999999999996" customHeight="1" x14ac:dyDescent="0.2">
      <c r="B105" s="185"/>
      <c r="C105" s="185"/>
      <c r="D105" s="185"/>
      <c r="E105" s="30"/>
      <c r="F105" s="273"/>
      <c r="G105" s="7"/>
      <c r="H105" s="7"/>
      <c r="I105" s="7"/>
    </row>
    <row r="106" spans="1:60" s="8" customFormat="1" ht="30" customHeight="1" x14ac:dyDescent="0.2">
      <c r="B106" s="362" t="s">
        <v>193</v>
      </c>
      <c r="C106" s="362"/>
      <c r="D106" s="34"/>
      <c r="E106" s="185" t="s">
        <v>194</v>
      </c>
      <c r="F106" s="274"/>
      <c r="G106" s="19" t="s">
        <v>813</v>
      </c>
      <c r="H106" s="7" t="s">
        <v>6</v>
      </c>
      <c r="I106" s="34"/>
    </row>
    <row r="107" spans="1:60" s="8" customFormat="1" ht="5.0999999999999996" customHeight="1" x14ac:dyDescent="0.2">
      <c r="B107" s="362"/>
      <c r="C107" s="362"/>
      <c r="D107" s="34"/>
      <c r="E107" s="22"/>
      <c r="F107" s="273"/>
      <c r="G107" s="19"/>
      <c r="H107" s="7"/>
      <c r="I107" s="34"/>
    </row>
    <row r="108" spans="1:60" s="8" customFormat="1" ht="27" customHeight="1" x14ac:dyDescent="0.2">
      <c r="B108" s="362" t="s">
        <v>683</v>
      </c>
      <c r="C108" s="362"/>
      <c r="D108" s="34"/>
      <c r="E108" s="290" t="s">
        <v>196</v>
      </c>
      <c r="F108" s="274"/>
      <c r="G108" s="19" t="s">
        <v>813</v>
      </c>
      <c r="H108" s="7" t="s">
        <v>6</v>
      </c>
      <c r="I108" s="92"/>
    </row>
    <row r="109" spans="1:60" s="8" customFormat="1" ht="5.0999999999999996" customHeight="1" x14ac:dyDescent="0.2">
      <c r="B109" s="362"/>
      <c r="C109" s="362"/>
      <c r="D109" s="34"/>
      <c r="E109" s="22"/>
      <c r="F109" s="273"/>
      <c r="G109" s="19"/>
      <c r="H109" s="7"/>
      <c r="I109" s="34"/>
    </row>
    <row r="110" spans="1:60" s="8" customFormat="1" ht="30" customHeight="1" x14ac:dyDescent="0.2">
      <c r="B110" s="362" t="s">
        <v>195</v>
      </c>
      <c r="C110" s="362"/>
      <c r="D110" s="34"/>
      <c r="E110" s="185" t="s">
        <v>684</v>
      </c>
      <c r="F110" s="274"/>
      <c r="G110" s="19" t="s">
        <v>813</v>
      </c>
      <c r="H110" s="7" t="s">
        <v>6</v>
      </c>
      <c r="I110" s="92"/>
    </row>
    <row r="111" spans="1:60" s="8" customFormat="1" ht="5.0999999999999996" customHeight="1" x14ac:dyDescent="0.2">
      <c r="B111" s="185"/>
      <c r="C111" s="185"/>
      <c r="D111" s="34"/>
      <c r="E111" s="22"/>
      <c r="F111" s="273"/>
      <c r="G111" s="19"/>
      <c r="H111" s="7"/>
      <c r="I111" s="34"/>
    </row>
    <row r="112" spans="1:60" s="8" customFormat="1" ht="15" x14ac:dyDescent="0.2">
      <c r="B112" s="362" t="s">
        <v>247</v>
      </c>
      <c r="C112" s="362"/>
      <c r="D112" s="34"/>
      <c r="E112" s="22" t="s">
        <v>178</v>
      </c>
      <c r="F112" s="278">
        <v>7.5</v>
      </c>
      <c r="G112" s="7" t="s">
        <v>24</v>
      </c>
      <c r="H112" s="7" t="s">
        <v>13</v>
      </c>
      <c r="I112" s="107"/>
    </row>
    <row r="113" spans="1:60" s="8" customFormat="1" ht="5.0999999999999996" customHeight="1" x14ac:dyDescent="0.2">
      <c r="B113" s="185"/>
      <c r="C113" s="185"/>
      <c r="D113" s="34"/>
      <c r="E113" s="22"/>
      <c r="F113" s="277"/>
      <c r="G113" s="7"/>
      <c r="H113" s="7"/>
      <c r="I113" s="107"/>
    </row>
    <row r="114" spans="1:60" s="8" customFormat="1" ht="14.25" x14ac:dyDescent="0.2">
      <c r="B114" s="362" t="s">
        <v>248</v>
      </c>
      <c r="C114" s="362"/>
      <c r="D114" s="34"/>
      <c r="E114" s="22" t="s">
        <v>249</v>
      </c>
      <c r="F114" s="278">
        <v>20</v>
      </c>
      <c r="G114" s="7" t="s">
        <v>10</v>
      </c>
      <c r="H114" s="7" t="s">
        <v>13</v>
      </c>
      <c r="I114" s="107"/>
    </row>
    <row r="115" spans="1:60" s="8" customFormat="1" x14ac:dyDescent="0.2">
      <c r="B115" s="185"/>
      <c r="C115" s="185"/>
      <c r="D115" s="34"/>
      <c r="E115" s="22"/>
      <c r="F115" s="7"/>
      <c r="G115" s="19"/>
      <c r="H115" s="7"/>
      <c r="I115" s="34"/>
    </row>
    <row r="116" spans="1:60" s="8" customFormat="1" x14ac:dyDescent="0.2">
      <c r="B116" s="244" t="s">
        <v>623</v>
      </c>
      <c r="C116" s="244"/>
      <c r="D116" s="34"/>
      <c r="E116" s="22"/>
      <c r="F116" s="7"/>
      <c r="G116" s="19"/>
      <c r="H116" s="7"/>
      <c r="I116" s="34"/>
    </row>
    <row r="117" spans="1:60" s="8" customFormat="1" x14ac:dyDescent="0.2">
      <c r="B117" s="261"/>
      <c r="C117" s="261"/>
      <c r="D117" s="34"/>
      <c r="E117" s="22"/>
      <c r="F117" s="7"/>
      <c r="G117" s="19"/>
      <c r="H117" s="7"/>
      <c r="I117" s="34"/>
    </row>
    <row r="118" spans="1:60" s="8" customFormat="1" ht="15" x14ac:dyDescent="0.2">
      <c r="B118" s="362" t="s">
        <v>478</v>
      </c>
      <c r="C118" s="362"/>
      <c r="D118" s="34"/>
      <c r="E118" s="22" t="s">
        <v>653</v>
      </c>
      <c r="F118" s="274"/>
      <c r="G118" s="19" t="s">
        <v>443</v>
      </c>
      <c r="H118" s="7" t="s">
        <v>6</v>
      </c>
      <c r="I118" s="34"/>
    </row>
    <row r="119" spans="1:60" s="8" customFormat="1" x14ac:dyDescent="0.2">
      <c r="B119" s="261"/>
      <c r="C119" s="261"/>
      <c r="D119" s="34"/>
      <c r="E119" s="22"/>
      <c r="F119" s="7"/>
      <c r="G119" s="19"/>
      <c r="H119" s="7"/>
      <c r="I119" s="34"/>
    </row>
    <row r="120" spans="1:60" ht="15" x14ac:dyDescent="0.2">
      <c r="A120" s="10"/>
      <c r="B120" s="4" t="s">
        <v>1</v>
      </c>
      <c r="C120" s="4"/>
      <c r="D120" s="4"/>
      <c r="E120" s="4"/>
      <c r="F120" s="12"/>
      <c r="G120" s="12"/>
      <c r="H120" s="12"/>
      <c r="I120" s="12"/>
      <c r="AT120" s="11"/>
      <c r="AU120" s="11"/>
      <c r="AV120" s="11"/>
      <c r="AW120" s="11"/>
      <c r="AX120" s="11"/>
      <c r="AY120" s="11"/>
      <c r="AZ120" s="11"/>
      <c r="BA120" s="11"/>
      <c r="BB120" s="11"/>
      <c r="BC120" s="11"/>
      <c r="BD120" s="11"/>
      <c r="BE120" s="11"/>
      <c r="BF120" s="11"/>
      <c r="BG120" s="11"/>
      <c r="BH120" s="11"/>
    </row>
    <row r="121" spans="1:60" x14ac:dyDescent="0.2">
      <c r="A121" s="10"/>
      <c r="B121" s="6"/>
      <c r="C121" s="6"/>
      <c r="D121" s="6"/>
      <c r="E121" s="6"/>
      <c r="F121" s="6"/>
      <c r="G121" s="6"/>
      <c r="H121" s="6"/>
      <c r="I121" s="6"/>
      <c r="AT121" s="11"/>
      <c r="AU121" s="11"/>
      <c r="AV121" s="11"/>
      <c r="AW121" s="11"/>
      <c r="AX121" s="11"/>
      <c r="AY121" s="11"/>
      <c r="AZ121" s="11"/>
      <c r="BA121" s="11"/>
      <c r="BB121" s="11"/>
      <c r="BC121" s="11"/>
      <c r="BD121" s="11"/>
      <c r="BE121" s="11"/>
      <c r="BF121" s="11"/>
      <c r="BG121" s="11"/>
      <c r="BH121" s="11"/>
    </row>
    <row r="122" spans="1:60" ht="15" x14ac:dyDescent="0.2">
      <c r="A122" s="10"/>
      <c r="B122" s="14" t="s">
        <v>2</v>
      </c>
      <c r="C122" s="14"/>
      <c r="D122" s="14"/>
      <c r="E122" s="15" t="s">
        <v>4</v>
      </c>
      <c r="F122" s="16" t="s">
        <v>7</v>
      </c>
      <c r="G122" s="16" t="s">
        <v>3</v>
      </c>
      <c r="H122" s="16" t="s">
        <v>11</v>
      </c>
      <c r="I122" s="15" t="s">
        <v>34</v>
      </c>
      <c r="AT122" s="11"/>
      <c r="AU122" s="11"/>
      <c r="AV122" s="11"/>
      <c r="AW122" s="11"/>
      <c r="AX122" s="11"/>
      <c r="AY122" s="11"/>
      <c r="AZ122" s="11"/>
      <c r="BA122" s="11"/>
      <c r="BB122" s="11"/>
      <c r="BC122" s="11"/>
      <c r="BD122" s="11"/>
      <c r="BE122" s="11"/>
      <c r="BF122" s="11"/>
      <c r="BG122" s="11"/>
      <c r="BH122" s="11"/>
    </row>
    <row r="123" spans="1:60" x14ac:dyDescent="0.2">
      <c r="A123" s="10"/>
      <c r="B123" s="14"/>
      <c r="C123" s="14"/>
      <c r="D123" s="14"/>
      <c r="E123" s="15"/>
      <c r="F123" s="16"/>
      <c r="G123" s="16"/>
      <c r="H123" s="16"/>
      <c r="I123" s="15"/>
      <c r="AT123" s="11"/>
      <c r="AU123" s="11"/>
      <c r="AV123" s="11"/>
      <c r="AW123" s="11"/>
      <c r="AX123" s="11"/>
      <c r="AY123" s="11"/>
      <c r="AZ123" s="11"/>
      <c r="BA123" s="11"/>
      <c r="BB123" s="11"/>
      <c r="BC123" s="11"/>
      <c r="BD123" s="11"/>
      <c r="BE123" s="11"/>
      <c r="BF123" s="11"/>
      <c r="BG123" s="11"/>
      <c r="BH123" s="11"/>
    </row>
    <row r="124" spans="1:60" s="8" customFormat="1" ht="15.75" x14ac:dyDescent="0.2">
      <c r="A124" s="10"/>
      <c r="B124" s="362" t="s">
        <v>198</v>
      </c>
      <c r="C124" s="362"/>
      <c r="D124" s="30"/>
      <c r="E124" s="30" t="s">
        <v>202</v>
      </c>
      <c r="F124" s="228" t="str">
        <f>IF(ISNUMBER(Q_leach_TIME1_SP),AREApoles_SP*(Q_leach_TIME1_SP/TIME1_SP)*TAU_wway,"??")</f>
        <v>??</v>
      </c>
      <c r="G124" s="19" t="s">
        <v>794</v>
      </c>
      <c r="H124" s="7" t="s">
        <v>8</v>
      </c>
      <c r="I124" s="190" t="s">
        <v>250</v>
      </c>
    </row>
    <row r="125" spans="1:60" s="8" customFormat="1" ht="5.0999999999999996" customHeight="1" x14ac:dyDescent="0.2">
      <c r="A125" s="10"/>
      <c r="B125" s="290"/>
      <c r="C125" s="290"/>
      <c r="D125" s="290"/>
      <c r="E125" s="30"/>
      <c r="F125" s="30"/>
      <c r="G125" s="19"/>
      <c r="H125" s="7"/>
      <c r="I125" s="20"/>
    </row>
    <row r="126" spans="1:60" s="8" customFormat="1" ht="33" customHeight="1" x14ac:dyDescent="0.2">
      <c r="A126" s="10"/>
      <c r="B126" s="362" t="s">
        <v>703</v>
      </c>
      <c r="C126" s="362"/>
      <c r="D126" s="30"/>
      <c r="E126" s="30" t="s">
        <v>203</v>
      </c>
      <c r="F126" s="228" t="str">
        <f>IF(ISNUMBER(Q_leach_TIME2_SP),AREApoles_SP*(Q_leach_TIME2_SP/TIME2_SP)*TAU_wway,"??")</f>
        <v>??</v>
      </c>
      <c r="G126" s="19" t="s">
        <v>794</v>
      </c>
      <c r="H126" s="7" t="s">
        <v>8</v>
      </c>
      <c r="I126" s="292" t="s">
        <v>251</v>
      </c>
    </row>
    <row r="127" spans="1:60" s="8" customFormat="1" ht="5.0999999999999996" customHeight="1" x14ac:dyDescent="0.2">
      <c r="A127" s="10"/>
      <c r="B127" s="185"/>
      <c r="C127" s="185"/>
      <c r="D127" s="185"/>
      <c r="E127" s="30"/>
      <c r="F127" s="30"/>
      <c r="G127" s="19"/>
      <c r="H127" s="7"/>
      <c r="I127" s="20"/>
    </row>
    <row r="128" spans="1:60" s="8" customFormat="1" ht="15.75" x14ac:dyDescent="0.2">
      <c r="A128" s="10"/>
      <c r="B128" s="362" t="s">
        <v>199</v>
      </c>
      <c r="C128" s="362"/>
      <c r="D128" s="30"/>
      <c r="E128" s="30" t="s">
        <v>678</v>
      </c>
      <c r="F128" s="228" t="str">
        <f>IF(ISNUMBER(Q_leach_TIME3_SP),AREApoles_SP*(Q_leach_TIME3_SP/TIME3_SP)*TAU_wway,"??")</f>
        <v>??</v>
      </c>
      <c r="G128" s="19" t="s">
        <v>794</v>
      </c>
      <c r="H128" s="7" t="s">
        <v>8</v>
      </c>
      <c r="I128" s="190" t="s">
        <v>735</v>
      </c>
    </row>
    <row r="129" spans="1:66" x14ac:dyDescent="0.2">
      <c r="A129" s="10"/>
      <c r="B129" s="14"/>
      <c r="C129" s="14"/>
      <c r="D129" s="14"/>
      <c r="E129" s="15"/>
      <c r="F129" s="16"/>
      <c r="G129" s="16"/>
      <c r="H129" s="16"/>
      <c r="I129" s="15"/>
      <c r="AT129" s="11"/>
      <c r="AU129" s="11"/>
      <c r="AV129" s="11"/>
      <c r="AW129" s="11"/>
      <c r="AX129" s="11"/>
      <c r="AY129" s="11"/>
      <c r="AZ129" s="11"/>
      <c r="BA129" s="11"/>
      <c r="BB129" s="11"/>
      <c r="BC129" s="11"/>
      <c r="BD129" s="11"/>
      <c r="BE129" s="11"/>
      <c r="BF129" s="11"/>
      <c r="BG129" s="11"/>
      <c r="BH129" s="11"/>
    </row>
    <row r="130" spans="1:66" s="8" customFormat="1" ht="15" customHeight="1" x14ac:dyDescent="0.2">
      <c r="A130" s="10"/>
      <c r="B130" s="363" t="s">
        <v>479</v>
      </c>
      <c r="C130" s="363"/>
      <c r="D130" s="167"/>
      <c r="E130" s="167" t="s">
        <v>502</v>
      </c>
      <c r="F130" s="228" t="str">
        <f>IF(ISNUMBER(Q_leach_TIME1_SP),AREApoles_SP*Q_leach_TIME1_SP/TIME1_SP,"??")</f>
        <v>??</v>
      </c>
      <c r="G130" s="19" t="s">
        <v>814</v>
      </c>
      <c r="H130" s="19" t="s">
        <v>8</v>
      </c>
      <c r="I130" s="146" t="s">
        <v>625</v>
      </c>
    </row>
    <row r="131" spans="1:66" s="8" customFormat="1" ht="5.0999999999999996" customHeight="1" x14ac:dyDescent="0.2">
      <c r="A131" s="10"/>
      <c r="B131" s="293"/>
      <c r="C131" s="293"/>
      <c r="D131" s="293"/>
      <c r="E131" s="167"/>
      <c r="F131" s="198"/>
      <c r="G131" s="19"/>
      <c r="H131" s="19"/>
      <c r="I131" s="169"/>
    </row>
    <row r="132" spans="1:66" s="8" customFormat="1" ht="24.95" customHeight="1" x14ac:dyDescent="0.2">
      <c r="A132" s="10"/>
      <c r="B132" s="363" t="s">
        <v>712</v>
      </c>
      <c r="C132" s="363"/>
      <c r="D132" s="293"/>
      <c r="E132" s="167" t="s">
        <v>503</v>
      </c>
      <c r="F132" s="228" t="str">
        <f>IF(ISNUMBER(Q_leach_TIME2_SP),AREApoles_SP*Q_leach_TIME2_SP/TIME2_SP,"??")</f>
        <v>??</v>
      </c>
      <c r="G132" s="19" t="s">
        <v>814</v>
      </c>
      <c r="H132" s="19" t="s">
        <v>8</v>
      </c>
      <c r="I132" s="146" t="s">
        <v>626</v>
      </c>
    </row>
    <row r="133" spans="1:66" s="8" customFormat="1" ht="5.0999999999999996" customHeight="1" x14ac:dyDescent="0.2">
      <c r="A133" s="10"/>
      <c r="B133" s="187"/>
      <c r="C133" s="187"/>
      <c r="D133" s="187"/>
      <c r="E133" s="167"/>
      <c r="F133" s="198"/>
      <c r="G133" s="19"/>
      <c r="H133" s="19"/>
      <c r="I133" s="169"/>
    </row>
    <row r="134" spans="1:66" s="8" customFormat="1" ht="15" customHeight="1" x14ac:dyDescent="0.2">
      <c r="A134" s="10"/>
      <c r="B134" s="363" t="s">
        <v>480</v>
      </c>
      <c r="C134" s="363"/>
      <c r="D134" s="187"/>
      <c r="E134" s="167" t="s">
        <v>713</v>
      </c>
      <c r="F134" s="228" t="str">
        <f>IF(ISNUMBER(Q_leach_TIME3_SP),AREApoles_SP*Q_leach_TIME3_SP/TIME3_SP,"??")</f>
        <v>??</v>
      </c>
      <c r="G134" s="19" t="s">
        <v>814</v>
      </c>
      <c r="H134" s="19" t="s">
        <v>8</v>
      </c>
      <c r="I134" s="146" t="s">
        <v>736</v>
      </c>
    </row>
    <row r="135" spans="1:66" x14ac:dyDescent="0.2">
      <c r="A135" s="10"/>
      <c r="B135" s="14"/>
      <c r="C135" s="14"/>
      <c r="D135" s="14"/>
      <c r="E135" s="15"/>
      <c r="F135" s="16"/>
      <c r="G135" s="16"/>
      <c r="H135" s="16"/>
      <c r="I135" s="15"/>
      <c r="AT135" s="11"/>
      <c r="AU135" s="11"/>
      <c r="AV135" s="11"/>
      <c r="AW135" s="11"/>
      <c r="AX135" s="11"/>
      <c r="AY135" s="11"/>
      <c r="AZ135" s="11"/>
      <c r="BA135" s="11"/>
      <c r="BB135" s="11"/>
      <c r="BC135" s="11"/>
      <c r="BD135" s="11"/>
      <c r="BE135" s="11"/>
      <c r="BF135" s="11"/>
      <c r="BG135" s="11"/>
      <c r="BH135" s="11"/>
    </row>
    <row r="136" spans="1:66" ht="15" x14ac:dyDescent="0.2">
      <c r="A136" s="10"/>
      <c r="B136" s="382" t="s">
        <v>596</v>
      </c>
      <c r="C136" s="382"/>
      <c r="D136" s="382"/>
      <c r="E136" s="382"/>
      <c r="F136" s="382"/>
      <c r="G136" s="382"/>
      <c r="H136" s="382"/>
      <c r="I136" s="382"/>
      <c r="AT136" s="11"/>
      <c r="AU136" s="11"/>
      <c r="AV136" s="11"/>
      <c r="AW136" s="11"/>
      <c r="AX136" s="11"/>
      <c r="AY136" s="11"/>
      <c r="AZ136" s="11"/>
      <c r="BA136" s="11"/>
      <c r="BB136" s="11"/>
      <c r="BC136" s="11"/>
      <c r="BD136" s="11"/>
      <c r="BE136" s="11"/>
      <c r="BF136" s="11"/>
      <c r="BG136" s="11"/>
      <c r="BH136" s="11"/>
    </row>
    <row r="137" spans="1:66" x14ac:dyDescent="0.2">
      <c r="A137" s="10"/>
      <c r="B137" s="14"/>
      <c r="C137" s="14"/>
      <c r="D137" s="14"/>
      <c r="E137" s="15"/>
      <c r="F137" s="16"/>
      <c r="G137" s="16"/>
      <c r="H137" s="16"/>
      <c r="I137" s="15"/>
      <c r="AT137" s="11"/>
      <c r="AU137" s="11"/>
      <c r="AV137" s="11"/>
      <c r="AW137" s="11"/>
      <c r="AX137" s="11"/>
      <c r="AY137" s="11"/>
      <c r="AZ137" s="11"/>
      <c r="BA137" s="11"/>
      <c r="BB137" s="11"/>
      <c r="BC137" s="11"/>
      <c r="BD137" s="11"/>
      <c r="BE137" s="11"/>
      <c r="BF137" s="11"/>
      <c r="BG137" s="11"/>
      <c r="BH137" s="11"/>
    </row>
    <row r="138" spans="1:66" s="8" customFormat="1" ht="15" x14ac:dyDescent="0.2">
      <c r="A138" s="10"/>
      <c r="B138" s="362" t="s">
        <v>240</v>
      </c>
      <c r="C138" s="362"/>
      <c r="D138" s="30"/>
      <c r="E138" s="30" t="s">
        <v>229</v>
      </c>
      <c r="F138" s="228" t="str">
        <f>IF(ISNUMBER(QleachTIME1_SP),QleachTIME1_SP*0.001/Vwater_SP,"??")</f>
        <v>??</v>
      </c>
      <c r="G138" s="19" t="s">
        <v>810</v>
      </c>
      <c r="H138" s="7" t="s">
        <v>8</v>
      </c>
      <c r="I138" s="41" t="s">
        <v>825</v>
      </c>
    </row>
    <row r="139" spans="1:66" s="8" customFormat="1" ht="5.0999999999999996" customHeight="1" x14ac:dyDescent="0.2">
      <c r="A139" s="10"/>
      <c r="B139" s="290"/>
      <c r="C139" s="290"/>
      <c r="D139" s="290"/>
      <c r="E139" s="30"/>
      <c r="F139" s="30"/>
      <c r="G139" s="19"/>
      <c r="H139" s="7"/>
      <c r="I139" s="41"/>
    </row>
    <row r="140" spans="1:66" s="8" customFormat="1" ht="24.95" customHeight="1" x14ac:dyDescent="0.2">
      <c r="A140" s="10"/>
      <c r="B140" s="362" t="s">
        <v>707</v>
      </c>
      <c r="C140" s="362"/>
      <c r="D140" s="30"/>
      <c r="E140" s="30" t="s">
        <v>230</v>
      </c>
      <c r="F140" s="228" t="str">
        <f>IF(ISNUMBER(QleachTIME2_SP),QleachTIME2_SP*0.001/Vwater_SP,"??")</f>
        <v>??</v>
      </c>
      <c r="G140" s="19" t="s">
        <v>810</v>
      </c>
      <c r="H140" s="7" t="s">
        <v>8</v>
      </c>
      <c r="I140" s="41" t="s">
        <v>823</v>
      </c>
    </row>
    <row r="141" spans="1:66" s="8" customFormat="1" ht="5.0999999999999996" customHeight="1" x14ac:dyDescent="0.2">
      <c r="A141" s="10"/>
      <c r="B141" s="185"/>
      <c r="C141" s="185"/>
      <c r="D141" s="185"/>
      <c r="E141" s="30"/>
      <c r="F141" s="30"/>
      <c r="G141" s="19"/>
      <c r="H141" s="7"/>
      <c r="I141" s="41"/>
    </row>
    <row r="142" spans="1:66" s="8" customFormat="1" ht="15" x14ac:dyDescent="0.2">
      <c r="A142" s="10"/>
      <c r="B142" s="362" t="s">
        <v>241</v>
      </c>
      <c r="C142" s="362"/>
      <c r="D142" s="30"/>
      <c r="E142" s="30" t="s">
        <v>708</v>
      </c>
      <c r="F142" s="228" t="str">
        <f>IF(ISNUMBER(QleachTIME3_SP),QleachTIME3_SP*0.001/Vwater_SP,"??")</f>
        <v>??</v>
      </c>
      <c r="G142" s="19" t="s">
        <v>810</v>
      </c>
      <c r="H142" s="7" t="s">
        <v>8</v>
      </c>
      <c r="I142" s="41" t="s">
        <v>824</v>
      </c>
    </row>
    <row r="143" spans="1:66" s="8" customFormat="1" x14ac:dyDescent="0.2">
      <c r="A143" s="10"/>
      <c r="B143" s="261"/>
      <c r="C143" s="261"/>
      <c r="D143" s="261"/>
      <c r="E143" s="30"/>
      <c r="F143" s="16"/>
      <c r="G143" s="19"/>
      <c r="H143" s="7"/>
      <c r="I143" s="20"/>
    </row>
    <row r="144" spans="1:66" s="8" customFormat="1" ht="15" x14ac:dyDescent="0.2">
      <c r="A144" s="10"/>
      <c r="B144" s="382" t="s">
        <v>624</v>
      </c>
      <c r="C144" s="382"/>
      <c r="D144" s="382"/>
      <c r="E144" s="382"/>
      <c r="F144" s="382"/>
      <c r="G144" s="382"/>
      <c r="H144" s="382"/>
      <c r="I144" s="382"/>
      <c r="J144" s="192"/>
      <c r="AT144" s="10"/>
      <c r="AU144" s="10"/>
      <c r="AV144" s="10"/>
      <c r="AW144" s="10"/>
      <c r="AX144" s="10"/>
      <c r="AY144" s="10"/>
      <c r="AZ144" s="10"/>
      <c r="BA144" s="10"/>
      <c r="BB144" s="10"/>
      <c r="BC144" s="10"/>
      <c r="BD144" s="10"/>
      <c r="BE144" s="10"/>
      <c r="BF144" s="10"/>
      <c r="BG144" s="10"/>
      <c r="BH144" s="10"/>
      <c r="BI144" s="10"/>
      <c r="BJ144" s="10"/>
      <c r="BK144" s="10"/>
      <c r="BL144" s="10"/>
      <c r="BM144" s="10"/>
      <c r="BN144" s="10"/>
    </row>
    <row r="145" spans="1:9" s="8" customFormat="1" x14ac:dyDescent="0.2">
      <c r="A145" s="10"/>
      <c r="B145" s="263"/>
      <c r="C145" s="263"/>
      <c r="D145" s="263"/>
      <c r="E145" s="263"/>
      <c r="F145" s="263"/>
      <c r="G145" s="7"/>
      <c r="H145" s="7"/>
      <c r="I145" s="20"/>
    </row>
    <row r="146" spans="1:9" s="8" customFormat="1" ht="31.5" x14ac:dyDescent="0.2">
      <c r="A146" s="10"/>
      <c r="B146" s="362" t="s">
        <v>240</v>
      </c>
      <c r="C146" s="362"/>
      <c r="D146" s="187"/>
      <c r="E146" s="167" t="s">
        <v>504</v>
      </c>
      <c r="F146" s="228" t="str">
        <f>IF(AND(ISNUMBER(Ewater_leach_TIME1_SP),ISNUMBER(kwater_SP)),(Ewater_leach_TIME1_SP*0.001/(Vwater_SP*kwater_SP))*(1-(1-EXP(-TAU_wway*kwater_SP))/(kwater_SP*TAU_wway)),"??")</f>
        <v>??</v>
      </c>
      <c r="G146" s="19" t="s">
        <v>810</v>
      </c>
      <c r="H146" s="19" t="s">
        <v>8</v>
      </c>
      <c r="I146" s="146" t="s">
        <v>826</v>
      </c>
    </row>
    <row r="147" spans="1:9" s="8" customFormat="1" ht="5.0999999999999996" customHeight="1" x14ac:dyDescent="0.2">
      <c r="A147" s="10"/>
      <c r="B147" s="346"/>
      <c r="C147" s="346"/>
      <c r="D147" s="293"/>
      <c r="E147" s="167"/>
      <c r="F147" s="198"/>
      <c r="G147" s="19"/>
      <c r="H147" s="19"/>
      <c r="I147" s="146"/>
    </row>
    <row r="148" spans="1:9" s="8" customFormat="1" ht="31.5" x14ac:dyDescent="0.2">
      <c r="A148" s="10"/>
      <c r="B148" s="362" t="s">
        <v>707</v>
      </c>
      <c r="C148" s="362"/>
      <c r="D148" s="293"/>
      <c r="E148" s="167" t="s">
        <v>505</v>
      </c>
      <c r="F148" s="228" t="str">
        <f>IF(AND(ISNUMBER(Ewater_leach_TIME2_SP),ISNUMBER(kwater_SP)),(Ewater_leach_TIME2_SP*0.001/(Vwater_SP*kwater_SP))*(1-(1-EXP(-TAU_wway*kwater_SP))/(kwater_SP*TAU_wway)),"??")</f>
        <v>??</v>
      </c>
      <c r="G148" s="19" t="s">
        <v>810</v>
      </c>
      <c r="H148" s="19" t="s">
        <v>8</v>
      </c>
      <c r="I148" s="146" t="s">
        <v>827</v>
      </c>
    </row>
    <row r="149" spans="1:9" s="8" customFormat="1" ht="5.0999999999999996" customHeight="1" x14ac:dyDescent="0.2">
      <c r="A149" s="10"/>
      <c r="B149" s="346"/>
      <c r="C149" s="346"/>
      <c r="D149" s="187"/>
      <c r="E149" s="167"/>
      <c r="F149" s="198"/>
      <c r="G149" s="19"/>
      <c r="H149" s="19"/>
      <c r="I149" s="146"/>
    </row>
    <row r="150" spans="1:9" s="8" customFormat="1" ht="31.5" x14ac:dyDescent="0.2">
      <c r="A150" s="10"/>
      <c r="B150" s="362" t="s">
        <v>241</v>
      </c>
      <c r="C150" s="362"/>
      <c r="D150" s="187"/>
      <c r="E150" s="167" t="s">
        <v>716</v>
      </c>
      <c r="F150" s="228" t="str">
        <f>IF(AND(ISNUMBER(Ewater_leach_TIME3_SP),ISNUMBER(kwater_SP)),(Ewater_leach_TIME3_SP*0.001/(Vwater_SP*kwater_SP))*(1-(1-EXP(-TAU_wway*kwater_SP))/(kwater_SP*TAU_wway)),"??")</f>
        <v>??</v>
      </c>
      <c r="G150" s="19" t="s">
        <v>810</v>
      </c>
      <c r="H150" s="19" t="s">
        <v>8</v>
      </c>
      <c r="I150" s="146" t="s">
        <v>828</v>
      </c>
    </row>
    <row r="151" spans="1:9" s="8" customFormat="1" x14ac:dyDescent="0.2">
      <c r="A151" s="10"/>
      <c r="B151" s="185"/>
      <c r="C151" s="185"/>
      <c r="D151" s="185"/>
      <c r="E151" s="30"/>
      <c r="F151" s="30"/>
      <c r="G151" s="7"/>
      <c r="H151" s="7"/>
      <c r="I151" s="146"/>
    </row>
    <row r="152" spans="1:9" s="8" customFormat="1" x14ac:dyDescent="0.2">
      <c r="B152" s="86" t="s">
        <v>12</v>
      </c>
      <c r="C152" s="86"/>
      <c r="F152" s="87"/>
      <c r="G152" s="88"/>
      <c r="H152" s="74"/>
      <c r="I152" s="85"/>
    </row>
    <row r="153" spans="1:9" s="73" customFormat="1" collapsed="1" x14ac:dyDescent="0.2">
      <c r="B153" s="86"/>
      <c r="C153" s="115"/>
      <c r="G153" s="94"/>
      <c r="I153" s="94"/>
    </row>
    <row r="154" spans="1:9" s="73" customFormat="1" ht="12" customHeight="1" x14ac:dyDescent="0.2">
      <c r="B154" s="307" t="s">
        <v>818</v>
      </c>
      <c r="I154" s="94"/>
    </row>
    <row r="155" spans="1:9" s="73" customFormat="1" x14ac:dyDescent="0.2">
      <c r="E155" s="94"/>
      <c r="F155" s="113"/>
      <c r="G155" s="113"/>
      <c r="H155" s="113"/>
      <c r="I155" s="94"/>
    </row>
    <row r="156" spans="1:9" s="73" customFormat="1" x14ac:dyDescent="0.2">
      <c r="B156" s="366"/>
      <c r="C156" s="366"/>
      <c r="E156" s="116"/>
      <c r="F156" s="117"/>
      <c r="G156" s="113"/>
      <c r="H156" s="113"/>
      <c r="I156" s="94"/>
    </row>
    <row r="157" spans="1:9" s="73" customFormat="1" x14ac:dyDescent="0.2">
      <c r="B157" s="186"/>
      <c r="E157" s="94"/>
      <c r="F157" s="113"/>
      <c r="G157" s="113"/>
      <c r="H157" s="113"/>
      <c r="I157" s="94"/>
    </row>
    <row r="158" spans="1:9" s="73" customFormat="1" x14ac:dyDescent="0.2">
      <c r="B158" s="186"/>
      <c r="D158" s="186"/>
      <c r="E158" s="116"/>
      <c r="F158" s="114"/>
      <c r="G158" s="113"/>
      <c r="H158" s="113"/>
      <c r="I158" s="94"/>
    </row>
    <row r="159" spans="1:9" s="73" customFormat="1" x14ac:dyDescent="0.2">
      <c r="B159" s="186"/>
      <c r="C159" s="186"/>
      <c r="D159" s="186"/>
      <c r="E159" s="116"/>
      <c r="F159" s="113"/>
      <c r="G159" s="113"/>
      <c r="H159" s="113"/>
      <c r="I159" s="113"/>
    </row>
    <row r="160" spans="1:9" s="73" customFormat="1" x14ac:dyDescent="0.2">
      <c r="B160" s="366"/>
      <c r="C160" s="366"/>
      <c r="E160" s="186"/>
      <c r="F160" s="114"/>
      <c r="G160" s="113"/>
      <c r="H160" s="113"/>
    </row>
    <row r="161" spans="2:9" s="73" customFormat="1" x14ac:dyDescent="0.2">
      <c r="B161" s="366"/>
      <c r="C161" s="366"/>
      <c r="E161" s="94"/>
      <c r="F161" s="113"/>
      <c r="G161" s="113"/>
      <c r="H161" s="113"/>
    </row>
    <row r="162" spans="2:9" s="73" customFormat="1" x14ac:dyDescent="0.2">
      <c r="B162" s="366"/>
      <c r="C162" s="366"/>
      <c r="E162" s="94"/>
      <c r="F162" s="114"/>
      <c r="G162" s="113"/>
      <c r="H162" s="113"/>
    </row>
    <row r="163" spans="2:9" s="73" customFormat="1" x14ac:dyDescent="0.2">
      <c r="B163" s="186"/>
      <c r="C163" s="186"/>
      <c r="E163" s="94"/>
      <c r="F163" s="113"/>
      <c r="G163" s="113"/>
      <c r="H163" s="113"/>
    </row>
    <row r="164" spans="2:9" s="73" customFormat="1" x14ac:dyDescent="0.2">
      <c r="B164" s="186"/>
      <c r="C164" s="186"/>
      <c r="E164" s="94"/>
      <c r="F164" s="113"/>
      <c r="G164" s="113"/>
      <c r="H164" s="113"/>
    </row>
    <row r="165" spans="2:9" s="73" customFormat="1" x14ac:dyDescent="0.2">
      <c r="B165" s="186"/>
      <c r="C165" s="186"/>
      <c r="E165" s="94"/>
      <c r="F165" s="113"/>
      <c r="G165" s="113"/>
      <c r="H165" s="113"/>
      <c r="I165" s="116"/>
    </row>
    <row r="166" spans="2:9" s="73" customFormat="1" x14ac:dyDescent="0.2">
      <c r="B166" s="186"/>
      <c r="C166" s="186"/>
      <c r="E166" s="94"/>
      <c r="F166" s="113"/>
      <c r="G166" s="113"/>
      <c r="H166" s="113"/>
    </row>
    <row r="167" spans="2:9" s="73" customFormat="1" x14ac:dyDescent="0.2">
      <c r="B167" s="186"/>
      <c r="C167" s="186"/>
      <c r="E167" s="94"/>
      <c r="F167" s="113"/>
      <c r="G167" s="113"/>
      <c r="H167" s="113"/>
    </row>
    <row r="168" spans="2:9" s="73" customFormat="1" x14ac:dyDescent="0.2">
      <c r="B168" s="186"/>
      <c r="C168" s="186"/>
      <c r="E168" s="94"/>
      <c r="F168" s="113"/>
      <c r="G168" s="113"/>
      <c r="H168" s="113"/>
    </row>
    <row r="169" spans="2:9" s="73" customFormat="1" x14ac:dyDescent="0.2">
      <c r="B169" s="186"/>
      <c r="C169" s="186"/>
      <c r="E169" s="94"/>
      <c r="F169" s="113"/>
      <c r="G169" s="113"/>
      <c r="H169" s="113"/>
    </row>
    <row r="170" spans="2:9" s="73" customFormat="1" x14ac:dyDescent="0.2"/>
    <row r="171" spans="2:9" s="73" customFormat="1" x14ac:dyDescent="0.2"/>
    <row r="172" spans="2:9" s="73" customFormat="1" x14ac:dyDescent="0.2">
      <c r="E172" s="94"/>
      <c r="F172" s="113"/>
      <c r="G172" s="113"/>
      <c r="H172" s="113"/>
      <c r="I172" s="94"/>
    </row>
    <row r="173" spans="2:9" s="73" customFormat="1" x14ac:dyDescent="0.2">
      <c r="I173" s="94"/>
    </row>
    <row r="174" spans="2:9" s="73" customFormat="1" x14ac:dyDescent="0.2">
      <c r="B174" s="366"/>
      <c r="C174" s="366"/>
      <c r="D174" s="366"/>
      <c r="E174" s="116"/>
      <c r="F174" s="118"/>
      <c r="G174" s="113"/>
      <c r="H174" s="113"/>
      <c r="I174" s="94"/>
    </row>
    <row r="175" spans="2:9" s="73" customFormat="1" x14ac:dyDescent="0.2">
      <c r="B175" s="186"/>
      <c r="C175" s="186"/>
      <c r="D175" s="186"/>
      <c r="E175" s="116"/>
      <c r="F175" s="116"/>
      <c r="G175" s="113"/>
      <c r="H175" s="113"/>
      <c r="I175" s="94"/>
    </row>
    <row r="176" spans="2:9" s="73" customFormat="1" x14ac:dyDescent="0.2">
      <c r="B176" s="366"/>
      <c r="C176" s="366"/>
      <c r="D176" s="366"/>
      <c r="E176" s="116"/>
      <c r="F176" s="118"/>
      <c r="G176" s="113"/>
      <c r="H176" s="113"/>
      <c r="I176" s="94"/>
    </row>
    <row r="177" spans="2:9" s="73" customFormat="1" x14ac:dyDescent="0.2">
      <c r="B177" s="186"/>
      <c r="C177" s="186"/>
      <c r="D177" s="186"/>
      <c r="E177" s="116"/>
      <c r="F177" s="116"/>
      <c r="G177" s="113"/>
      <c r="H177" s="113"/>
      <c r="I177" s="94"/>
    </row>
    <row r="178" spans="2:9" s="73" customFormat="1" x14ac:dyDescent="0.2">
      <c r="B178" s="116"/>
      <c r="C178" s="116"/>
      <c r="D178" s="186"/>
      <c r="E178" s="116"/>
      <c r="F178" s="116"/>
      <c r="H178" s="113"/>
      <c r="I178" s="113"/>
    </row>
    <row r="179" spans="2:9" s="73" customFormat="1" x14ac:dyDescent="0.2">
      <c r="I179" s="94"/>
    </row>
    <row r="180" spans="2:9" s="73" customFormat="1" x14ac:dyDescent="0.2">
      <c r="G180" s="94"/>
      <c r="I180" s="94"/>
    </row>
    <row r="181" spans="2:9" s="73" customFormat="1" x14ac:dyDescent="0.2">
      <c r="C181" s="115"/>
      <c r="G181" s="94"/>
      <c r="I181" s="94"/>
    </row>
    <row r="182" spans="2:9" s="73" customFormat="1" x14ac:dyDescent="0.2">
      <c r="C182" s="115"/>
      <c r="G182" s="94"/>
      <c r="I182" s="94"/>
    </row>
    <row r="183" spans="2:9" s="73" customFormat="1" x14ac:dyDescent="0.2">
      <c r="E183" s="94"/>
    </row>
    <row r="184" spans="2:9" s="73" customFormat="1" x14ac:dyDescent="0.2">
      <c r="E184" s="94"/>
    </row>
    <row r="185" spans="2:9" s="73" customFormat="1" x14ac:dyDescent="0.2">
      <c r="E185" s="94"/>
    </row>
    <row r="186" spans="2:9" s="73" customFormat="1" x14ac:dyDescent="0.2">
      <c r="E186" s="94"/>
    </row>
    <row r="187" spans="2:9" s="73" customFormat="1" x14ac:dyDescent="0.2">
      <c r="E187" s="94"/>
    </row>
    <row r="188" spans="2:9" s="73" customFormat="1" x14ac:dyDescent="0.2">
      <c r="E188" s="94"/>
    </row>
    <row r="189" spans="2:9" s="73" customFormat="1" x14ac:dyDescent="0.2">
      <c r="E189" s="94"/>
    </row>
    <row r="190" spans="2:9" s="73" customFormat="1" x14ac:dyDescent="0.2">
      <c r="E190" s="94"/>
    </row>
    <row r="191" spans="2:9" s="10" customFormat="1" x14ac:dyDescent="0.2">
      <c r="E191" s="61"/>
    </row>
    <row r="192" spans="2:9" s="10" customFormat="1" x14ac:dyDescent="0.2">
      <c r="E192" s="61"/>
    </row>
    <row r="193" spans="5:5" s="10" customFormat="1" x14ac:dyDescent="0.2">
      <c r="E193" s="61"/>
    </row>
    <row r="194" spans="5:5" s="10" customFormat="1" x14ac:dyDescent="0.2">
      <c r="E194" s="61"/>
    </row>
    <row r="195" spans="5:5" s="10" customFormat="1" x14ac:dyDescent="0.2">
      <c r="E195" s="61"/>
    </row>
    <row r="196" spans="5:5" s="10" customFormat="1" x14ac:dyDescent="0.2">
      <c r="E196" s="61"/>
    </row>
    <row r="197" spans="5:5" s="10" customFormat="1" x14ac:dyDescent="0.2">
      <c r="E197" s="61"/>
    </row>
    <row r="198" spans="5:5" s="10" customFormat="1" x14ac:dyDescent="0.2">
      <c r="E198" s="61"/>
    </row>
    <row r="199" spans="5:5" s="10" customFormat="1" x14ac:dyDescent="0.2">
      <c r="E199" s="61"/>
    </row>
    <row r="200" spans="5:5" s="10" customFormat="1" x14ac:dyDescent="0.2">
      <c r="E200" s="61"/>
    </row>
    <row r="201" spans="5:5" s="10" customFormat="1" x14ac:dyDescent="0.2">
      <c r="E201" s="61"/>
    </row>
    <row r="202" spans="5:5" s="10" customFormat="1" x14ac:dyDescent="0.2">
      <c r="E202" s="61"/>
    </row>
    <row r="203" spans="5:5" s="10" customFormat="1" x14ac:dyDescent="0.2">
      <c r="E203" s="61"/>
    </row>
    <row r="204" spans="5:5" s="10" customFormat="1" x14ac:dyDescent="0.2">
      <c r="E204" s="61"/>
    </row>
    <row r="205" spans="5:5" s="10" customFormat="1" x14ac:dyDescent="0.2">
      <c r="E205" s="61"/>
    </row>
    <row r="206" spans="5:5" s="8" customFormat="1" x14ac:dyDescent="0.2">
      <c r="E206" s="85"/>
    </row>
    <row r="207" spans="5:5" s="8" customFormat="1" x14ac:dyDescent="0.2">
      <c r="E207" s="85"/>
    </row>
    <row r="208" spans="5:5" s="8" customFormat="1" x14ac:dyDescent="0.2">
      <c r="E208" s="85"/>
    </row>
    <row r="209" spans="5:5" s="8" customFormat="1" x14ac:dyDescent="0.2">
      <c r="E209" s="85"/>
    </row>
    <row r="210" spans="5:5" s="8" customFormat="1" x14ac:dyDescent="0.2">
      <c r="E210" s="85"/>
    </row>
    <row r="211" spans="5:5" s="8" customFormat="1" x14ac:dyDescent="0.2">
      <c r="E211" s="85"/>
    </row>
    <row r="212" spans="5:5" s="8" customFormat="1" x14ac:dyDescent="0.2">
      <c r="E212" s="85"/>
    </row>
    <row r="213" spans="5:5" s="8" customFormat="1" x14ac:dyDescent="0.2">
      <c r="E213" s="85"/>
    </row>
    <row r="214" spans="5:5" s="8" customFormat="1" x14ac:dyDescent="0.2">
      <c r="E214" s="85"/>
    </row>
    <row r="215" spans="5:5" s="8" customFormat="1" x14ac:dyDescent="0.2">
      <c r="E215" s="85"/>
    </row>
    <row r="216" spans="5:5" s="8" customFormat="1" x14ac:dyDescent="0.2">
      <c r="E216" s="85"/>
    </row>
    <row r="217" spans="5:5" s="8" customFormat="1" x14ac:dyDescent="0.2">
      <c r="E217" s="85"/>
    </row>
    <row r="218" spans="5:5" s="8" customFormat="1" x14ac:dyDescent="0.2">
      <c r="E218" s="85"/>
    </row>
    <row r="219" spans="5:5" s="8" customFormat="1" x14ac:dyDescent="0.2">
      <c r="E219" s="85"/>
    </row>
    <row r="220" spans="5:5" s="8" customFormat="1" x14ac:dyDescent="0.2">
      <c r="E220" s="85"/>
    </row>
    <row r="221" spans="5:5" s="8" customFormat="1" x14ac:dyDescent="0.2">
      <c r="E221" s="85"/>
    </row>
    <row r="222" spans="5:5" s="8" customFormat="1" x14ac:dyDescent="0.2">
      <c r="E222" s="85"/>
    </row>
    <row r="223" spans="5:5" s="8" customFormat="1" x14ac:dyDescent="0.2">
      <c r="E223" s="85"/>
    </row>
    <row r="224" spans="5:5" s="8" customFormat="1" x14ac:dyDescent="0.2">
      <c r="E224" s="85"/>
    </row>
    <row r="225" spans="5:5" s="8" customFormat="1" x14ac:dyDescent="0.2">
      <c r="E225" s="85"/>
    </row>
    <row r="226" spans="5:5" s="8" customFormat="1" x14ac:dyDescent="0.2">
      <c r="E226" s="85"/>
    </row>
    <row r="227" spans="5:5" s="8" customFormat="1" x14ac:dyDescent="0.2">
      <c r="E227" s="85"/>
    </row>
    <row r="228" spans="5:5" s="8" customFormat="1" x14ac:dyDescent="0.2">
      <c r="E228" s="85"/>
    </row>
    <row r="229" spans="5:5" s="8" customFormat="1" x14ac:dyDescent="0.2">
      <c r="E229" s="85"/>
    </row>
    <row r="230" spans="5:5" s="8" customFormat="1" x14ac:dyDescent="0.2">
      <c r="E230" s="85"/>
    </row>
    <row r="231" spans="5:5" s="8" customFormat="1" x14ac:dyDescent="0.2">
      <c r="E231" s="85"/>
    </row>
    <row r="232" spans="5:5" s="8" customFormat="1" x14ac:dyDescent="0.2">
      <c r="E232" s="85"/>
    </row>
    <row r="233" spans="5:5" s="8" customFormat="1" x14ac:dyDescent="0.2">
      <c r="E233" s="85"/>
    </row>
    <row r="234" spans="5:5" s="8" customFormat="1" x14ac:dyDescent="0.2">
      <c r="E234" s="85"/>
    </row>
    <row r="235" spans="5:5" s="8" customFormat="1" x14ac:dyDescent="0.2">
      <c r="E235" s="85"/>
    </row>
    <row r="236" spans="5:5" s="8" customFormat="1" x14ac:dyDescent="0.2">
      <c r="E236" s="85"/>
    </row>
  </sheetData>
  <sheetProtection algorithmName="SHA-512" hashValue="jqTdEcegKrvOMe+UKFi8rWfbw3nVuXIVBM20MTyDRY5zaR4ZFtoGBY77nbdv4S3Fg4xyeSimSRkJUVbVBd+7tA==" saltValue="BUlFJc92ZfBA3OuZ67OR3A==" spinCount="100000" sheet="1" objects="1" scenarios="1" formatCells="0" formatColumns="0" formatRows="0"/>
  <mergeCells count="69">
    <mergeCell ref="B62:C62"/>
    <mergeCell ref="B64:C64"/>
    <mergeCell ref="B41:C41"/>
    <mergeCell ref="B148:C148"/>
    <mergeCell ref="B108:C108"/>
    <mergeCell ref="B109:C109"/>
    <mergeCell ref="B126:C126"/>
    <mergeCell ref="B140:C140"/>
    <mergeCell ref="B132:C132"/>
    <mergeCell ref="B138:C138"/>
    <mergeCell ref="B142:C142"/>
    <mergeCell ref="B110:C110"/>
    <mergeCell ref="B112:C112"/>
    <mergeCell ref="B66:I66"/>
    <mergeCell ref="B74:I74"/>
    <mergeCell ref="B114:C114"/>
    <mergeCell ref="B174:D174"/>
    <mergeCell ref="B176:D176"/>
    <mergeCell ref="B162:C162"/>
    <mergeCell ref="B9:F9"/>
    <mergeCell ref="B14:I14"/>
    <mergeCell ref="B54:C54"/>
    <mergeCell ref="B28:C28"/>
    <mergeCell ref="B32:C32"/>
    <mergeCell ref="B35:C35"/>
    <mergeCell ref="B36:C36"/>
    <mergeCell ref="B38:C38"/>
    <mergeCell ref="B42:C42"/>
    <mergeCell ref="B48:C48"/>
    <mergeCell ref="B33:C33"/>
    <mergeCell ref="B34:C34"/>
    <mergeCell ref="B98:C98"/>
    <mergeCell ref="B91:I91"/>
    <mergeCell ref="B92:I92"/>
    <mergeCell ref="B161:C161"/>
    <mergeCell ref="B118:C118"/>
    <mergeCell ref="B130:C130"/>
    <mergeCell ref="B128:C128"/>
    <mergeCell ref="B134:C134"/>
    <mergeCell ref="B146:C146"/>
    <mergeCell ref="B150:C150"/>
    <mergeCell ref="B144:I144"/>
    <mergeCell ref="B124:C124"/>
    <mergeCell ref="B136:I136"/>
    <mergeCell ref="B100:C100"/>
    <mergeCell ref="B104:C104"/>
    <mergeCell ref="B106:C106"/>
    <mergeCell ref="B101:C101"/>
    <mergeCell ref="B156:C156"/>
    <mergeCell ref="B160:C160"/>
    <mergeCell ref="B102:C102"/>
    <mergeCell ref="B103:C103"/>
    <mergeCell ref="B107:C107"/>
    <mergeCell ref="B76:C76"/>
    <mergeCell ref="B78:C78"/>
    <mergeCell ref="B80:C80"/>
    <mergeCell ref="B15:I15"/>
    <mergeCell ref="B5:I5"/>
    <mergeCell ref="B10:F10"/>
    <mergeCell ref="B39:C39"/>
    <mergeCell ref="B40:C40"/>
    <mergeCell ref="B21:I21"/>
    <mergeCell ref="B22:I22"/>
    <mergeCell ref="B58:C58"/>
    <mergeCell ref="B68:C68"/>
    <mergeCell ref="B72:C72"/>
    <mergeCell ref="B60:C60"/>
    <mergeCell ref="B56:C56"/>
    <mergeCell ref="B70:C70"/>
  </mergeCells>
  <hyperlinks>
    <hyperlink ref="B9" location="'PT8-treatd wood in service UC4b'!A_Jetty_in_a_lake" display="A) Jetty in a lake (ESD Table 4.21 p.82 &amp; Table 3.8, p.31-32)"/>
    <hyperlink ref="B10:C10" location="'PT8-treatd wood in service UC4b'!B__Sheet_piling_in_a_waterway" display="B) Sheet piling in a waterway (ESD Table 4.22 p.83 &amp; Table 3.8, p.33-34)"/>
    <hyperlink ref="B10:F10" location="'PT8-treatd wood in service UC4b'!B_Sheet_piling_in_a_waterway" display="B) Sheet piling in a waterway (ESD Table 4.22 p.83 &amp; Table 3.8, p.33-34)"/>
    <hyperlink ref="B84" location="'PT8-treatd wood in service UC4b'!A1" display="Go to the top of the page"/>
    <hyperlink ref="B154" location="'PT8-treatd wood in service UC4b'!A1" display="Go to the top of the page"/>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1</Value>
      <Value>9</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ACTV16-17-51049</_dlc_DocId>
    <_dlc_DocIdUrl xmlns="5bcca709-0b09-4b74-bfa0-2137a84c1763">
      <Url>https://activity.echa.europa.eu/sites/act-16/process-16-0/_layouts/15/DocIdRedir.aspx?ID=ACTV16-17-51049</Url>
      <Description>ACTV16-17-51049</Description>
    </_dlc_DocIdUrl>
    <IsRecord xmlns="735cbd8a-ef91-4d32-baee-5f03e5fb30bf">No</IsRecord>
    <IconOverlay xmlns="http://schemas.microsoft.com/sharepoint/v4" xsi:nil="true"/>
    <Status xmlns="735cbd8a-ef91-4d32-baee-5f03e5fb30b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20" ma:contentTypeDescription="Content type for ECHA process documents" ma:contentTypeScope="" ma:versionID="043746c7fde81fa37d627f7a70ed9e28">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xmlns:ns8="8919639d-03a3-4573-a832-1e3bee8480f0" targetNamespace="http://schemas.microsoft.com/office/2006/metadata/properties" ma:root="true" ma:fieldsID="7b9e2ecc650a8f55e1228d93b0c1f150" ns2:_="" ns3:_="" ns4:_="" ns5:_="" ns6:_="" ns7:_="" ns8: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import namespace="8919639d-03a3-4573-a832-1e3bee8480f0"/>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element ref="ns8:SharedWithUsers" minOccurs="0"/>
                <xsd:element ref="ns6: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element name="Status" ma:index="26" nillable="true" ma:displayName="Status" ma:format="Dropdown" ma:internalName="Status">
      <xsd:simpleType>
        <xsd:restriction base="dms:Choice">
          <xsd:enumeration value="Archived"/>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19639d-03a3-4573-a832-1e3bee8480f0" elementFormDefault="qualified">
    <xsd:import namespace="http://schemas.microsoft.com/office/2006/documentManagement/types"/>
    <xsd:import namespace="http://schemas.microsoft.com/office/infopath/2007/PartnerControls"/>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6E1CFF7-3811-4B00-85F4-0D62518EAA52}">
  <ds:schemaRefs>
    <ds:schemaRef ds:uri="http://schemas.microsoft.com/office/infopath/2007/PartnerControls"/>
    <ds:schemaRef ds:uri="http://schemas.openxmlformats.org/package/2006/metadata/core-properties"/>
    <ds:schemaRef ds:uri="5bcca709-0b09-4b74-bfa0-2137a84c1763"/>
    <ds:schemaRef ds:uri="http://purl.org/dc/terms/"/>
    <ds:schemaRef ds:uri="8919639d-03a3-4573-a832-1e3bee8480f0"/>
    <ds:schemaRef ds:uri="http://schemas.microsoft.com/sharepoint/v4"/>
    <ds:schemaRef ds:uri="http://schemas.microsoft.com/office/2006/documentManagement/types"/>
    <ds:schemaRef ds:uri="d80dd6ab-43bf-4d9d-bb1e-742532452846"/>
    <ds:schemaRef ds:uri="735cbd8a-ef91-4d32-baee-5f03e5fb30bf"/>
    <ds:schemaRef ds:uri="5be2862c-9c7a-466a-8f6d-c278e82738e2"/>
    <ds:schemaRef ds:uri="http://purl.org/dc/elements/1.1/"/>
    <ds:schemaRef ds:uri="http://purl.org/dc/dcmitype/"/>
    <ds:schemaRef ds:uri="b80ede5c-af4c-4bf2-9a87-706a3579dc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2F3423D-F761-4919-8323-CF5496424D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sharepoint/v4"/>
    <ds:schemaRef ds:uri="8919639d-03a3-4573-a832-1e3bee848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5E65C5-6D1D-4740-8CA9-689F29F46420}">
  <ds:schemaRefs>
    <ds:schemaRef ds:uri="http://schemas.microsoft.com/sharepoint/v3/contenttype/forms"/>
  </ds:schemaRefs>
</ds:datastoreItem>
</file>

<file path=customXml/itemProps4.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5.xml><?xml version="1.0" encoding="utf-8"?>
<ds:datastoreItem xmlns:ds="http://schemas.openxmlformats.org/officeDocument/2006/customXml" ds:itemID="{248557FC-F572-4299-8474-14E99191E3A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482</vt:i4>
      </vt:variant>
    </vt:vector>
  </HeadingPairs>
  <TitlesOfParts>
    <vt:vector size="500" baseType="lpstr">
      <vt:lpstr>Introduction</vt:lpstr>
      <vt:lpstr>Index</vt:lpstr>
      <vt:lpstr>PT8-automated spraying</vt:lpstr>
      <vt:lpstr>PT8-dipping_immersion processes</vt:lpstr>
      <vt:lpstr>PT8-vacuum_double vacuum proc</vt:lpstr>
      <vt:lpstr>PT8-prof&amp;amateur in situ treatm</vt:lpstr>
      <vt:lpstr>PT8-treatd wood in service UC3 </vt:lpstr>
      <vt:lpstr>PT8-treatd wood in service UC4a</vt:lpstr>
      <vt:lpstr>PT8-treatd wood in service UC4b</vt:lpstr>
      <vt:lpstr>PT8-treatd wood in service UC5</vt:lpstr>
      <vt:lpstr>PT8-indoor fumigation</vt:lpstr>
      <vt:lpstr>PT8-injection</vt:lpstr>
      <vt:lpstr>PT8-wrapping</vt:lpstr>
      <vt:lpstr>PT8-termite control</vt:lpstr>
      <vt:lpstr>PT8-in-situ spraying</vt:lpstr>
      <vt:lpstr>PT8-railway sleepers</vt:lpstr>
      <vt:lpstr>PT8-dock and deck-fence</vt:lpstr>
      <vt:lpstr>Pick-lists &amp; Defaults</vt:lpstr>
      <vt:lpstr>'PT8-dipping_immersion processes'!A__Emission_scenario_for_dipping_immersion_product_application</vt:lpstr>
      <vt:lpstr>'PT8-prof&amp;amateur in situ treatm'!A__Emission_scenario_for_in_situ_treatment___house_scenario__ESD_Table_4.11__p.63___fence_scenario__ESD_Table_4.12__p.64___bridge_over_pond_scenario__ESD_Table_4.13__p.65____TIER_1</vt:lpstr>
      <vt:lpstr>'PT8-vacuum_double vacuum proc'!A__Emission_scenario_for_vacuum_pressure_and_double_vacuum_low_pressure_processes_product_application</vt:lpstr>
      <vt:lpstr>'PT8-treatd wood in service UC3 '!A__House_scenario</vt:lpstr>
      <vt:lpstr>'PT8-automated spraying'!A_Emission_scenario_for_automated_spraying_product_application</vt:lpstr>
      <vt:lpstr>'PT8-dock and deck-fence'!A_Emission_scenario_for_treated_docks_in_service__ESD_Table_4.42__p.120</vt:lpstr>
      <vt:lpstr>'PT8-treatd wood in service UC4b'!A_Jetty_in_a_lake</vt:lpstr>
      <vt:lpstr>'PT8-termite control'!A_Preventive_pre_construction_foundation_treatment</vt:lpstr>
      <vt:lpstr>'PT8-treatd wood in service UC4a'!A_Transmission_pole</vt:lpstr>
      <vt:lpstr>application_except_noisebarrier</vt:lpstr>
      <vt:lpstr>application_method_process</vt:lpstr>
      <vt:lpstr>'PT8-automated spraying'!AREA_storage</vt:lpstr>
      <vt:lpstr>area_volume</vt:lpstr>
      <vt:lpstr>'PT8-dock and deck-fence'!area_volume_dock</vt:lpstr>
      <vt:lpstr>'PT8-prof&amp;amateur in situ treatm'!AREAbridge</vt:lpstr>
      <vt:lpstr>'PT8-treatd wood in service UC3 '!AREAbridge</vt:lpstr>
      <vt:lpstr>'PT8-dock and deck-fence'!AREAdeck_fence</vt:lpstr>
      <vt:lpstr>'PT8-prof&amp;amateur in situ treatm'!AREAfence</vt:lpstr>
      <vt:lpstr>'PT8-treatd wood in service UC3 '!AREAfence</vt:lpstr>
      <vt:lpstr>'PT8-in-situ spraying'!AREAhouse</vt:lpstr>
      <vt:lpstr>'PT8-prof&amp;amateur in situ treatm'!AREAhouse</vt:lpstr>
      <vt:lpstr>'PT8-treatd wood in service UC3 '!AREAhouse</vt:lpstr>
      <vt:lpstr>'PT8-in-situ spraying'!AREAhouse_leachable</vt:lpstr>
      <vt:lpstr>'PT8-treatd wood in service UC3 '!AREAnoise_barrier</vt:lpstr>
      <vt:lpstr>'PT8-treatd wood in service UC4b'!AREAplanks</vt:lpstr>
      <vt:lpstr>'PT8-treatd wood in service UC5'!AREAplanks</vt:lpstr>
      <vt:lpstr>'PT8-treatd wood in service UC4a'!AREApole_above</vt:lpstr>
      <vt:lpstr>'PT8-injection'!AREApole_below</vt:lpstr>
      <vt:lpstr>'PT8-treatd wood in service UC4a'!AREApole_below</vt:lpstr>
      <vt:lpstr>'PT8-wrapping'!AREApole_below</vt:lpstr>
      <vt:lpstr>'PT8-injection'!AREApole_inj</vt:lpstr>
      <vt:lpstr>'PT8-treatd wood in service UC4b'!AREApoles</vt:lpstr>
      <vt:lpstr>'PT8-treatd wood in service UC5'!AREApoles</vt:lpstr>
      <vt:lpstr>'PT8-treatd wood in service UC4b'!AREApoles_SP</vt:lpstr>
      <vt:lpstr>'PT8-treatd wood in service UC4a'!AREApost_above</vt:lpstr>
      <vt:lpstr>'PT8-treatd wood in service UC4a'!AREApost_below</vt:lpstr>
      <vt:lpstr>'PT8-railway sleepers'!AREAsleepers</vt:lpstr>
      <vt:lpstr>'PT8-dipping_immersion processes'!AREAstorage</vt:lpstr>
      <vt:lpstr>'PT8-vacuum_double vacuum proc'!AREAstorage</vt:lpstr>
      <vt:lpstr>'PT8-termite control'!AREAtreated_perimeter</vt:lpstr>
      <vt:lpstr>'PT8-termite control'!AREAtreated_post</vt:lpstr>
      <vt:lpstr>'PT8-termite control'!AREAtreated_prev</vt:lpstr>
      <vt:lpstr>'PT8-termite control'!AREAtreated_trench</vt:lpstr>
      <vt:lpstr>'PT8-automated spraying'!AREAwood_expo</vt:lpstr>
      <vt:lpstr>'PT8-dipping_immersion processes'!AREAwood_expo</vt:lpstr>
      <vt:lpstr>'PT8-vacuum_double vacuum proc'!AREAwood_expo</vt:lpstr>
      <vt:lpstr>'PT8-automated spraying'!AREAwood_treated</vt:lpstr>
      <vt:lpstr>'PT8-dipping_immersion processes'!B__Emission_scenario_for_dipping_immersion_storage_of_treated_wood_prior_to_shipping</vt:lpstr>
      <vt:lpstr>'PT8-vacuum_double vacuum proc'!B__Emission_scenario_for_vacuum_pressure_and_double_vacuum_low_pressure_processes_storage_and_treated_wood_prior_to_shipping</vt:lpstr>
      <vt:lpstr>'PT8-treatd wood in service UC3 '!B__Fence_scenario</vt:lpstr>
      <vt:lpstr>'PT8-automated spraying'!B_Emission_scenario_for_automated_spraying_storage</vt:lpstr>
      <vt:lpstr>'PT8-dock and deck-fence'!B_Emission_scenario_for_treated_decks_fences_in_service__ESD_Table_4.43__p.121</vt:lpstr>
      <vt:lpstr>'PT8-treatd wood in service UC4a'!B_Fence_post</vt:lpstr>
      <vt:lpstr>'PT8-termite control'!B_Post_construction_trench_treatment</vt:lpstr>
      <vt:lpstr>'PT8-treatd wood in service UC4b'!B_Sheet_piling_in_a_waterway</vt:lpstr>
      <vt:lpstr>'PT8-treatd wood in service UC3 '!C__Noise_barrier_scenario</vt:lpstr>
      <vt:lpstr>'PT8-automated spraying'!Cai</vt:lpstr>
      <vt:lpstr>'PT8-prof&amp;amateur in situ treatm'!Clocal_soil_brush_fence</vt:lpstr>
      <vt:lpstr>'PT8-treatd wood in service UC3 '!Clocal_soil_brush_fence</vt:lpstr>
      <vt:lpstr>'PT8-prof&amp;amateur in situ treatm'!Clocal_soil_brush_house</vt:lpstr>
      <vt:lpstr>'PT8-treatd wood in service UC3 '!Clocal_soil_brush_house</vt:lpstr>
      <vt:lpstr>'PT8-injection'!Clocal_soil_inj</vt:lpstr>
      <vt:lpstr>'PT8-in-situ spraying'!Clocal_soil_inj</vt:lpstr>
      <vt:lpstr>'PT8-injection'!Clocal_soil_leach_TIME1</vt:lpstr>
      <vt:lpstr>'PT8-treatd wood in service UC3 '!Clocal_soil_leach_TIME1_fence</vt:lpstr>
      <vt:lpstr>'PT8-treatd wood in service UC3 '!Clocal_soil_leach_TIME1_house</vt:lpstr>
      <vt:lpstr>'PT8-injection'!Clocal_soil_leach_TIME2</vt:lpstr>
      <vt:lpstr>'PT8-treatd wood in service UC3 '!Clocal_soil_leach_TIME2_fence</vt:lpstr>
      <vt:lpstr>'PT8-treatd wood in service UC3 '!Clocal_soil_leach_TIME2_house</vt:lpstr>
      <vt:lpstr>'PT8-injection'!Clocal_soil_leach_TIME3</vt:lpstr>
      <vt:lpstr>'PT8-treatd wood in service UC3 '!Clocal_soil_leach_TIME3_fence</vt:lpstr>
      <vt:lpstr>'PT8-treatd wood in service UC3 '!Clocal_soil_leach_TIME3_house</vt:lpstr>
      <vt:lpstr>'PT8-automated spraying'!Clocal_soil_ss</vt:lpstr>
      <vt:lpstr>'PT8-dipping_immersion processes'!Clocal_soil_ss</vt:lpstr>
      <vt:lpstr>'PT8-vacuum_double vacuum proc'!Clocal_soil_ss</vt:lpstr>
      <vt:lpstr>'PT8-treatd wood in service UC3 '!Clocal_soil_TIME1_fence</vt:lpstr>
      <vt:lpstr>'PT8-treatd wood in service UC4a'!Clocal_soil_TIME1_Fpost</vt:lpstr>
      <vt:lpstr>'PT8-treatd wood in service UC3 '!Clocal_soil_TIME1_house</vt:lpstr>
      <vt:lpstr>'PT8-treatd wood in service UC3 '!Clocal_soil_TIME1_noise</vt:lpstr>
      <vt:lpstr>'PT8-in-situ spraying'!Clocal_soil_TIME1_tier1</vt:lpstr>
      <vt:lpstr>'PT8-in-situ spraying'!Clocal_soil_TIME1_tier2</vt:lpstr>
      <vt:lpstr>'PT8-treatd wood in service UC4a'!Clocal_soil_TIME1_Tpole</vt:lpstr>
      <vt:lpstr>'PT8-treatd wood in service UC3 '!Clocal_soil_TIME2_fence</vt:lpstr>
      <vt:lpstr>'PT8-treatd wood in service UC4a'!Clocal_soil_TIME2_Fpost</vt:lpstr>
      <vt:lpstr>'PT8-treatd wood in service UC3 '!Clocal_soil_TIME2_house</vt:lpstr>
      <vt:lpstr>'PT8-treatd wood in service UC3 '!Clocal_soil_TIME2_noise</vt:lpstr>
      <vt:lpstr>'PT8-in-situ spraying'!Clocal_soil_TIME2_tier1</vt:lpstr>
      <vt:lpstr>'PT8-in-situ spraying'!Clocal_soil_TIME2_tier2</vt:lpstr>
      <vt:lpstr>'PT8-treatd wood in service UC4a'!Clocal_soil_TIME2_Tpole</vt:lpstr>
      <vt:lpstr>'PT8-treatd wood in service UC3 '!Clocal_soil_TIME3_fence</vt:lpstr>
      <vt:lpstr>'PT8-treatd wood in service UC4a'!Clocal_soil_TIME3_Fpost</vt:lpstr>
      <vt:lpstr>'PT8-treatd wood in service UC3 '!Clocal_soil_TIME3_house</vt:lpstr>
      <vt:lpstr>'PT8-treatd wood in service UC3 '!Clocal_soil_TIME3_noise</vt:lpstr>
      <vt:lpstr>'PT8-in-situ spraying'!Clocal_soil_TIME3_tier1</vt:lpstr>
      <vt:lpstr>'PT8-in-situ spraying'!Clocal_soil_TIME3_tier2</vt:lpstr>
      <vt:lpstr>'PT8-treatd wood in service UC4a'!Clocal_soil_TIME3_Tpole</vt:lpstr>
      <vt:lpstr>'PT8-prof&amp;amateur in situ treatm'!Clocal_water_brush_bridge</vt:lpstr>
      <vt:lpstr>'PT8-treatd wood in service UC3 '!Clocal_water_brush_bridge</vt:lpstr>
      <vt:lpstr>'PT8-treatd wood in service UC3 '!Clocal_water_leach_TIME1_bridge</vt:lpstr>
      <vt:lpstr>'PT8-treatd wood in service UC4a'!Clocal_water_leach_TIME1_Fpost</vt:lpstr>
      <vt:lpstr>'PT8-treatd wood in service UC4b'!Clocal_water_leach_TIME1_jetty</vt:lpstr>
      <vt:lpstr>'PT8-treatd wood in service UC4a'!Clocal_water_leach_TIME1_Tpole</vt:lpstr>
      <vt:lpstr>'PT8-treatd wood in service UC3 '!Clocal_water_leach_TIME2_bridge</vt:lpstr>
      <vt:lpstr>'PT8-treatd wood in service UC4a'!Clocal_water_leach_TIME2_Fpost</vt:lpstr>
      <vt:lpstr>'PT8-treatd wood in service UC4b'!Clocal_water_leach_TIME2_jetty</vt:lpstr>
      <vt:lpstr>'PT8-treatd wood in service UC4a'!Clocal_water_leach_TIME2_Tpole</vt:lpstr>
      <vt:lpstr>'PT8-treatd wood in service UC3 '!Clocal_water_leach_TIME3_bridge</vt:lpstr>
      <vt:lpstr>'PT8-treatd wood in service UC4a'!Clocal_water_leach_TIME3_Fpost</vt:lpstr>
      <vt:lpstr>'PT8-treatd wood in service UC4b'!Clocal_water_leach_TIME3_jetty</vt:lpstr>
      <vt:lpstr>'PT8-treatd wood in service UC4a'!Clocal_water_leach_TIME3_Tpole</vt:lpstr>
      <vt:lpstr>'PT8-in-situ spraying'!Clocalsoil_leach_TIME1</vt:lpstr>
      <vt:lpstr>'PT8-in-situ spraying'!Clocalsoil_leach_TIME2</vt:lpstr>
      <vt:lpstr>'PT8-in-situ spraying'!Clocalsoil_leach_TIME3</vt:lpstr>
      <vt:lpstr>'PT8-in-situ spraying'!Clocalsoil_runoff</vt:lpstr>
      <vt:lpstr>'PT8-in-situ spraying'!Clocalsoil_spray_drift_tier1</vt:lpstr>
      <vt:lpstr>'PT8-in-situ spraying'!Clocalsoil_spray_drift_tier2</vt:lpstr>
      <vt:lpstr>'PT8-in-situ spraying'!Clocalsoil_tier1</vt:lpstr>
      <vt:lpstr>'PT8-in-situ spraying'!Clocalsoil_tier2</vt:lpstr>
      <vt:lpstr>'PT8-injection'!Clocalsoil_TIME1</vt:lpstr>
      <vt:lpstr>'PT8-wrapping'!Clocalsoil_time1</vt:lpstr>
      <vt:lpstr>'PT8-injection'!Clocalsoil_TIME2</vt:lpstr>
      <vt:lpstr>'PT8-wrapping'!Clocalsoil_time2</vt:lpstr>
      <vt:lpstr>'PT8-injection'!Clocalsoil_TIME3</vt:lpstr>
      <vt:lpstr>'PT8-wrapping'!Clocalsoil_time3</vt:lpstr>
      <vt:lpstr>'PT8-treatd wood in service UC3 '!D__Bridge_over_pond_scenario</vt:lpstr>
      <vt:lpstr>'PT8-automated spraying'!DEPTHsoil</vt:lpstr>
      <vt:lpstr>'PT8-dipping_immersion processes'!DEPTHsoil</vt:lpstr>
      <vt:lpstr>'PT8-vacuum_double vacuum proc'!DEPTHsoil</vt:lpstr>
      <vt:lpstr>Distance</vt:lpstr>
      <vt:lpstr>'PT8-automated spraying'!Elocal_soil</vt:lpstr>
      <vt:lpstr>'PT8-dipping_immersion processes'!Elocal_soil</vt:lpstr>
      <vt:lpstr>'PT8-vacuum_double vacuum proc'!Elocal_soil</vt:lpstr>
      <vt:lpstr>'PT8-prof&amp;amateur in situ treatm'!Esoil_brush_fence</vt:lpstr>
      <vt:lpstr>'PT8-treatd wood in service UC3 '!Esoil_brush_fence</vt:lpstr>
      <vt:lpstr>'PT8-prof&amp;amateur in situ treatm'!Esoil_brush_house</vt:lpstr>
      <vt:lpstr>'PT8-injection'!Esoil_inj</vt:lpstr>
      <vt:lpstr>'PT8-injection'!Esoil_leach__TIME1</vt:lpstr>
      <vt:lpstr>'PT8-in-situ spraying'!Esoil_leach_TIME1</vt:lpstr>
      <vt:lpstr>'PT8-wrapping'!Esoil_leach_TIME1</vt:lpstr>
      <vt:lpstr>'PT8-treatd wood in service UC3 '!Esoil_leach_TIME1_fence</vt:lpstr>
      <vt:lpstr>'PT8-treatd wood in service UC4a'!Esoil_leach_TIME1_Fpost</vt:lpstr>
      <vt:lpstr>'PT8-treatd wood in service UC3 '!Esoil_leach_TIME1_house</vt:lpstr>
      <vt:lpstr>'PT8-treatd wood in service UC3 '!Esoil_leach_TIME1_noisebarrier</vt:lpstr>
      <vt:lpstr>'PT8-treatd wood in service UC4a'!Esoil_leach_TIME1_Tpole</vt:lpstr>
      <vt:lpstr>'PT8-injection'!Esoil_leach_TIME2</vt:lpstr>
      <vt:lpstr>'PT8-in-situ spraying'!Esoil_leach_TIME2</vt:lpstr>
      <vt:lpstr>'PT8-wrapping'!Esoil_leach_TIME2</vt:lpstr>
      <vt:lpstr>'PT8-treatd wood in service UC3 '!Esoil_leach_TIME2_fence</vt:lpstr>
      <vt:lpstr>'PT8-treatd wood in service UC4a'!Esoil_leach_TIME2_Fpost</vt:lpstr>
      <vt:lpstr>'PT8-treatd wood in service UC3 '!Esoil_leach_TIME2_house</vt:lpstr>
      <vt:lpstr>'PT8-treatd wood in service UC3 '!Esoil_leach_TIME2_noisebarrier</vt:lpstr>
      <vt:lpstr>'PT8-treatd wood in service UC4a'!Esoil_leach_TIME2_Tpole</vt:lpstr>
      <vt:lpstr>'PT8-injection'!Esoil_leach_TIME3</vt:lpstr>
      <vt:lpstr>'PT8-in-situ spraying'!Esoil_leach_TIME3</vt:lpstr>
      <vt:lpstr>'PT8-wrapping'!Esoil_leach_TIME3</vt:lpstr>
      <vt:lpstr>'PT8-treatd wood in service UC3 '!Esoil_leach_TIME3_fence</vt:lpstr>
      <vt:lpstr>'PT8-treatd wood in service UC4a'!Esoil_leach_TIME3_Fpost</vt:lpstr>
      <vt:lpstr>'PT8-treatd wood in service UC3 '!Esoil_leach_TIME3_house</vt:lpstr>
      <vt:lpstr>'PT8-treatd wood in service UC3 '!Esoil_leach_TIME3_noisebarrier</vt:lpstr>
      <vt:lpstr>'PT8-treatd wood in service UC4a'!Esoil_leach_TIME3_Tpole</vt:lpstr>
      <vt:lpstr>'PT8-in-situ spraying'!Esoil_runoff</vt:lpstr>
      <vt:lpstr>'PT8-in-situ spraying'!Esoil_spray_drift_tier1</vt:lpstr>
      <vt:lpstr>'PT8-in-situ spraying'!Esoil_spray_drift_tier2</vt:lpstr>
      <vt:lpstr>'PT8-prof&amp;amateur in situ treatm'!Ewater_brush_bridge</vt:lpstr>
      <vt:lpstr>'PT8-treatd wood in service UC3 '!Ewater_leach_TIME1</vt:lpstr>
      <vt:lpstr>'PT8-treatd wood in service UC5'!Ewater_leach_TIME1</vt:lpstr>
      <vt:lpstr>'PT8-treatd wood in service UC4b'!Ewater_leach_TIME1_jetty</vt:lpstr>
      <vt:lpstr>'PT8-treatd wood in service UC4b'!Ewater_leach_TIME1_SP</vt:lpstr>
      <vt:lpstr>'PT8-treatd wood in service UC3 '!Ewater_leach_TIME2</vt:lpstr>
      <vt:lpstr>'PT8-treatd wood in service UC5'!Ewater_leach_TIME2</vt:lpstr>
      <vt:lpstr>'PT8-treatd wood in service UC4b'!Ewater_leach_TIME2_jetty</vt:lpstr>
      <vt:lpstr>'PT8-treatd wood in service UC4b'!Ewater_leach_TIME2_SP</vt:lpstr>
      <vt:lpstr>'PT8-treatd wood in service UC3 '!Ewater_leach_TIME3</vt:lpstr>
      <vt:lpstr>'PT8-treatd wood in service UC5'!Ewater_leach_TIME3</vt:lpstr>
      <vt:lpstr>'PT8-treatd wood in service UC4b'!Ewater_leach_TIME3_jetty</vt:lpstr>
      <vt:lpstr>'PT8-treatd wood in service UC4b'!Ewater_leach_TIME3_SP</vt:lpstr>
      <vt:lpstr>'PT8-automated spraying'!F_air</vt:lpstr>
      <vt:lpstr>'PT8-automated spraying'!F_facilitydrain</vt:lpstr>
      <vt:lpstr>'PT8-termite control'!F_Koc_post</vt:lpstr>
      <vt:lpstr>'PT8-termite control'!F_Koc_prev</vt:lpstr>
      <vt:lpstr>'PT8-termite control'!F_runoff_post</vt:lpstr>
      <vt:lpstr>'PT8-termite control'!F_runoff_prev</vt:lpstr>
      <vt:lpstr>'PT8-indoor fumigation'!fai</vt:lpstr>
      <vt:lpstr>'PT8-in-situ spraying'!fai</vt:lpstr>
      <vt:lpstr>'PT8-prof&amp;amateur in situ treatm'!fai</vt:lpstr>
      <vt:lpstr>'PT8-injection'!fai_inj</vt:lpstr>
      <vt:lpstr>'PT8-termite control'!fai_post</vt:lpstr>
      <vt:lpstr>'PT8-termite control'!fai_prev</vt:lpstr>
      <vt:lpstr>'PT8-dipping_immersion processes'!Fair</vt:lpstr>
      <vt:lpstr>'PT8-vacuum_double vacuum proc'!Fair</vt:lpstr>
      <vt:lpstr>'PT8-termite control'!Fapplic_post</vt:lpstr>
      <vt:lpstr>'PT8-termite control'!Fapplic_prev</vt:lpstr>
      <vt:lpstr>'PT8-prof&amp;amateur in situ treatm'!Fbrush</vt:lpstr>
      <vt:lpstr>'PT8-in-situ spraying'!Fdep</vt:lpstr>
      <vt:lpstr>'PT8-indoor fumigation'!Fdis</vt:lpstr>
      <vt:lpstr>'PT8-automated spraying'!Fdrift</vt:lpstr>
      <vt:lpstr>'PT8-in-situ spraying'!Fdrift</vt:lpstr>
      <vt:lpstr>'PT8-dipping_immersion processes'!Ffacilitydrain</vt:lpstr>
      <vt:lpstr>'PT8-vacuum_double vacuum proc'!Ffacilitydrain</vt:lpstr>
      <vt:lpstr>'PT8-automated spraying'!FLOWsurfacewater</vt:lpstr>
      <vt:lpstr>'PT8-dipping_immersion processes'!FLOWsurfacewater</vt:lpstr>
      <vt:lpstr>'PT8-vacuum_double vacuum proc'!FLOWsurfacewater</vt:lpstr>
      <vt:lpstr>'PT8-dipping_immersion processes'!FLUXstorage_dipp</vt:lpstr>
      <vt:lpstr>'PT8-automated spraying'!FLUXstorage_spray</vt:lpstr>
      <vt:lpstr>'PT8-vacuum_double vacuum proc'!FLUXstorage_vac_pres</vt:lpstr>
      <vt:lpstr>'PT8-treatd wood in service UC3 '!Foc_susp</vt:lpstr>
      <vt:lpstr>'PT8-indoor fumigation'!Fret</vt:lpstr>
      <vt:lpstr>'PT8-automated spraying'!Frunoff</vt:lpstr>
      <vt:lpstr>'PT8-dipping_immersion processes'!Frunoff</vt:lpstr>
      <vt:lpstr>'PT8-in-situ spraying'!Frunoff</vt:lpstr>
      <vt:lpstr>'PT8-vacuum_double vacuum proc'!Frunoff</vt:lpstr>
      <vt:lpstr>'PT8-injection'!Fsoil_inj</vt:lpstr>
      <vt:lpstr>'PT8-treatd wood in service UC3 '!Fsoil_noisebarrier</vt:lpstr>
      <vt:lpstr>'PT8-treatd wood in service UC3 '!FSTP_noisebarrier</vt:lpstr>
      <vt:lpstr>Fumigation_Volume</vt:lpstr>
      <vt:lpstr>'PT8-injection'!k_soil</vt:lpstr>
      <vt:lpstr>'PT8-in-situ spraying'!k_soil</vt:lpstr>
      <vt:lpstr>'PT8-treatd wood in service UC3 '!k_soil</vt:lpstr>
      <vt:lpstr>'PT8-wrapping'!k_soil</vt:lpstr>
      <vt:lpstr>'PT8-treatd wood in service UC3 '!k_water</vt:lpstr>
      <vt:lpstr>'PT8-treatd wood in service UC3 '!Koc</vt:lpstr>
      <vt:lpstr>Koc</vt:lpstr>
      <vt:lpstr>'PT8-treatd wood in service UC3 '!Kp_susp</vt:lpstr>
      <vt:lpstr>'PT8-treatd wood in service UC3 '!Ksed_water</vt:lpstr>
      <vt:lpstr>'PT8-automated spraying'!ksoil</vt:lpstr>
      <vt:lpstr>'PT8-dipping_immersion processes'!ksoil</vt:lpstr>
      <vt:lpstr>'PT8-vacuum_double vacuum proc'!ksoil</vt:lpstr>
      <vt:lpstr>'PT8-treatd wood in service UC4a'!ksoil_Fpost</vt:lpstr>
      <vt:lpstr>'PT8-treatd wood in service UC4a'!ksoil_Tpole</vt:lpstr>
      <vt:lpstr>'PT8-dipping_immersion processes'!Ksoil_water</vt:lpstr>
      <vt:lpstr>'PT8-injection'!Ksoil_water</vt:lpstr>
      <vt:lpstr>'PT8-in-situ spraying'!Ksoil_water</vt:lpstr>
      <vt:lpstr>'PT8-treatd wood in service UC3 '!Ksoil_water</vt:lpstr>
      <vt:lpstr>'PT8-vacuum_double vacuum proc'!Ksoil_water</vt:lpstr>
      <vt:lpstr>'PT8-wrapping'!Ksoil_water</vt:lpstr>
      <vt:lpstr>'PT8-treatd wood in service UC4a'!Ksoil_water_Fpost</vt:lpstr>
      <vt:lpstr>'PT8-treatd wood in service UC4a'!Ksoil_water_Tpole</vt:lpstr>
      <vt:lpstr>'PT8-automated spraying'!Ksoilwater</vt:lpstr>
      <vt:lpstr>'PT8-treatd wood in service UC5'!kwater</vt:lpstr>
      <vt:lpstr>'PT8-treatd wood in service UC4b'!kwater_jetty</vt:lpstr>
      <vt:lpstr>'PT8-treatd wood in service UC4b'!kwater_SP</vt:lpstr>
      <vt:lpstr>LowP_process</vt:lpstr>
      <vt:lpstr>method_process_TIER2</vt:lpstr>
      <vt:lpstr>'PT8-dock and deck-fence'!Ndock</vt:lpstr>
      <vt:lpstr>'PT8-dock and deck-fence'!Nhouse</vt:lpstr>
      <vt:lpstr>'PT8-railway sleepers'!Nsleepers</vt:lpstr>
      <vt:lpstr>plant_size</vt:lpstr>
      <vt:lpstr>product</vt:lpstr>
      <vt:lpstr>prof_amateur</vt:lpstr>
      <vt:lpstr>'PT8-injection'!Q_leach_TIME1</vt:lpstr>
      <vt:lpstr>'PT8-in-situ spraying'!Q_leach_TIME1</vt:lpstr>
      <vt:lpstr>'PT8-railway sleepers'!Q_leach_TIME1</vt:lpstr>
      <vt:lpstr>'PT8-treatd wood in service UC5'!Q_leach_TIME1</vt:lpstr>
      <vt:lpstr>'PT8-wrapping'!Q_leach_TIME1</vt:lpstr>
      <vt:lpstr>'PT8-treatd wood in service UC3 '!Q_leach_TIME1_bridge</vt:lpstr>
      <vt:lpstr>'PT8-dock and deck-fence'!Q_leach_TIME1_deck_fence</vt:lpstr>
      <vt:lpstr>'PT8-dock and deck-fence'!Q_leach_TIME1_dock</vt:lpstr>
      <vt:lpstr>'PT8-treatd wood in service UC3 '!Q_leach_TIME1_fence</vt:lpstr>
      <vt:lpstr>'PT8-treatd wood in service UC4a'!Q_leach_TIME1_Fpost</vt:lpstr>
      <vt:lpstr>'PT8-treatd wood in service UC3 '!Q_leach_TIME1_house</vt:lpstr>
      <vt:lpstr>'PT8-treatd wood in service UC4b'!Q_leach_TIME1_jetty</vt:lpstr>
      <vt:lpstr>'PT8-treatd wood in service UC3 '!Q_leach_TIME1_noisebarrier</vt:lpstr>
      <vt:lpstr>'PT8-treatd wood in service UC4b'!Q_leach_TIME1_SP</vt:lpstr>
      <vt:lpstr>'PT8-treatd wood in service UC4a'!Q_leach_TIME1_Tpole</vt:lpstr>
      <vt:lpstr>'PT8-injection'!Q_leach_TIME2</vt:lpstr>
      <vt:lpstr>'PT8-in-situ spraying'!Q_leach_TIME2</vt:lpstr>
      <vt:lpstr>'PT8-railway sleepers'!Q_leach_TIME2</vt:lpstr>
      <vt:lpstr>'PT8-treatd wood in service UC5'!Q_leach_TIME2</vt:lpstr>
      <vt:lpstr>'PT8-wrapping'!Q_leach_TIME2</vt:lpstr>
      <vt:lpstr>'PT8-treatd wood in service UC3 '!Q_leach_TIME2_bridge</vt:lpstr>
      <vt:lpstr>'PT8-dock and deck-fence'!Q_leach_TIME2_deck_fence</vt:lpstr>
      <vt:lpstr>'PT8-dock and deck-fence'!Q_leach_TIME2_dock</vt:lpstr>
      <vt:lpstr>'PT8-treatd wood in service UC3 '!Q_leach_TIME2_fence</vt:lpstr>
      <vt:lpstr>'PT8-treatd wood in service UC4a'!Q_leach_TIME2_Fpost</vt:lpstr>
      <vt:lpstr>'PT8-treatd wood in service UC3 '!Q_leach_TIME2_house</vt:lpstr>
      <vt:lpstr>'PT8-treatd wood in service UC4b'!Q_leach_TIME2_jetty</vt:lpstr>
      <vt:lpstr>'PT8-treatd wood in service UC3 '!Q_leach_TIME2_noisebarrier</vt:lpstr>
      <vt:lpstr>'PT8-treatd wood in service UC4b'!Q_leach_TIME2_SP</vt:lpstr>
      <vt:lpstr>'PT8-treatd wood in service UC4a'!Q_leach_TIME2_Tpole</vt:lpstr>
      <vt:lpstr>'PT8-injection'!Q_leach_TIME3</vt:lpstr>
      <vt:lpstr>'PT8-in-situ spraying'!Q_leach_TIME3</vt:lpstr>
      <vt:lpstr>'PT8-railway sleepers'!Q_leach_TIME3</vt:lpstr>
      <vt:lpstr>'PT8-treatd wood in service UC5'!Q_leach_TIME3</vt:lpstr>
      <vt:lpstr>'PT8-wrapping'!Q_leach_TIME3</vt:lpstr>
      <vt:lpstr>'PT8-treatd wood in service UC3 '!Q_leach_TIME3_bridge</vt:lpstr>
      <vt:lpstr>'PT8-dock and deck-fence'!Q_leach_TIME3_deck_fence</vt:lpstr>
      <vt:lpstr>'PT8-dock and deck-fence'!Q_leach_TIME3_dock</vt:lpstr>
      <vt:lpstr>'PT8-treatd wood in service UC3 '!Q_leach_TIME3_fence</vt:lpstr>
      <vt:lpstr>'PT8-treatd wood in service UC4a'!Q_leach_TIME3_Fpost</vt:lpstr>
      <vt:lpstr>'PT8-treatd wood in service UC3 '!Q_leach_TIME3_house</vt:lpstr>
      <vt:lpstr>'PT8-treatd wood in service UC4b'!Q_leach_TIME3_jetty</vt:lpstr>
      <vt:lpstr>'PT8-treatd wood in service UC3 '!Q_leach_TIME3_noisebarrier</vt:lpstr>
      <vt:lpstr>'PT8-treatd wood in service UC4b'!Q_leach_TIME3_SP</vt:lpstr>
      <vt:lpstr>'PT8-treatd wood in service UC4a'!Q_leach_TIME3_Tpole</vt:lpstr>
      <vt:lpstr>'PT8-termite control'!QA_leach_time1</vt:lpstr>
      <vt:lpstr>'PT8-termite control'!QAapplic_product_post</vt:lpstr>
      <vt:lpstr>'PT8-termite control'!QAapplic_product_prev</vt:lpstr>
      <vt:lpstr>'PT8-termite control'!Qadj_house_soil</vt:lpstr>
      <vt:lpstr>'PT8-termite control'!Qadj_trench_soil</vt:lpstr>
      <vt:lpstr>'PT8-automated spraying'!Qai</vt:lpstr>
      <vt:lpstr>'PT8-dipping_immersion processes'!Qai</vt:lpstr>
      <vt:lpstr>'PT8-vacuum_double vacuum proc'!Qai</vt:lpstr>
      <vt:lpstr>'PT8-termite control'!QAleach_time1</vt:lpstr>
      <vt:lpstr>'PT8-indoor fumigation'!Qapplic_product</vt:lpstr>
      <vt:lpstr>'PT8-in-situ spraying'!Qapplic_product</vt:lpstr>
      <vt:lpstr>'PT8-prof&amp;amateur in situ treatm'!Qapplic_product</vt:lpstr>
      <vt:lpstr>'PT8-injection'!Qapplic_product_inj</vt:lpstr>
      <vt:lpstr>'PT8-termite control'!Qfoundation_soil</vt:lpstr>
      <vt:lpstr>'PT8-automated spraying'!Qleach_storage_TIME1</vt:lpstr>
      <vt:lpstr>'PT8-dipping_immersion processes'!Qleach_storage_TIME1</vt:lpstr>
      <vt:lpstr>'PT8-vacuum_double vacuum proc'!Qleach_storage_TIME1</vt:lpstr>
      <vt:lpstr>'PT8-automated spraying'!Qleach_storage_TIME2</vt:lpstr>
      <vt:lpstr>'PT8-dipping_immersion processes'!Qleach_storage_TIME2</vt:lpstr>
      <vt:lpstr>'PT8-vacuum_double vacuum proc'!Qleach_storage_TIME2</vt:lpstr>
      <vt:lpstr>'PT8-in-situ spraying'!Qleach_TIME1</vt:lpstr>
      <vt:lpstr>'PT8-dock and deck-fence'!Qleach_TIME1_deck_fence</vt:lpstr>
      <vt:lpstr>'PT8-dock and deck-fence'!Qleach_TIME1_dock</vt:lpstr>
      <vt:lpstr>'PT8-in-situ spraying'!Qleach_TIME2</vt:lpstr>
      <vt:lpstr>'PT8-dock and deck-fence'!Qleach_TIME2_deck_fence</vt:lpstr>
      <vt:lpstr>'PT8-dock and deck-fence'!Qleach_TIME2_dock</vt:lpstr>
      <vt:lpstr>'PT8-in-situ spraying'!Qleach_TIME3</vt:lpstr>
      <vt:lpstr>'PT8-dock and deck-fence'!Qleach_TIME3_deck_fence</vt:lpstr>
      <vt:lpstr>'PT8-dock and deck-fence'!Qleach_TIME3_dock</vt:lpstr>
      <vt:lpstr>'PT8-injection'!QleachTIME1</vt:lpstr>
      <vt:lpstr>'PT8-treatd wood in service UC5'!QleachTIME1</vt:lpstr>
      <vt:lpstr>'PT8-wrapping'!QleachTIME1</vt:lpstr>
      <vt:lpstr>'PT8-treatd wood in service UC3 '!QleachTIME1_bridge</vt:lpstr>
      <vt:lpstr>'PT8-treatd wood in service UC3 '!QleachTIME1_fence</vt:lpstr>
      <vt:lpstr>'PT8-treatd wood in service UC4a'!QleachTIME1_Fpost</vt:lpstr>
      <vt:lpstr>'PT8-treatd wood in service UC3 '!QleachTIME1_house</vt:lpstr>
      <vt:lpstr>'PT8-treatd wood in service UC4b'!QleachTIME1_jetty</vt:lpstr>
      <vt:lpstr>'PT8-treatd wood in service UC3 '!QleachTIME1_noisebarrier</vt:lpstr>
      <vt:lpstr>'PT8-treatd wood in service UC4b'!QleachTIME1_SP</vt:lpstr>
      <vt:lpstr>'PT8-treatd wood in service UC4a'!QleachTIME1_Tpole</vt:lpstr>
      <vt:lpstr>'PT8-injection'!QleachTIME2</vt:lpstr>
      <vt:lpstr>'PT8-treatd wood in service UC5'!QleachTIME2</vt:lpstr>
      <vt:lpstr>'PT8-wrapping'!QleachTIME2</vt:lpstr>
      <vt:lpstr>'PT8-treatd wood in service UC3 '!QleachTIME2_bridge</vt:lpstr>
      <vt:lpstr>'PT8-treatd wood in service UC3 '!QleachTIME2_fence</vt:lpstr>
      <vt:lpstr>'PT8-treatd wood in service UC4a'!QleachTIME2_Fpost</vt:lpstr>
      <vt:lpstr>'PT8-treatd wood in service UC3 '!QleachTIME2_house</vt:lpstr>
      <vt:lpstr>'PT8-treatd wood in service UC4b'!QleachTIME2_jetty</vt:lpstr>
      <vt:lpstr>'PT8-treatd wood in service UC3 '!QleachTIME2_noisebarrier</vt:lpstr>
      <vt:lpstr>'PT8-treatd wood in service UC4b'!QleachTIME2_SP</vt:lpstr>
      <vt:lpstr>'PT8-treatd wood in service UC4a'!QleachTIME2_Tpole</vt:lpstr>
      <vt:lpstr>'PT8-injection'!QleachTIME3</vt:lpstr>
      <vt:lpstr>'PT8-treatd wood in service UC5'!QleachTIME3</vt:lpstr>
      <vt:lpstr>'PT8-wrapping'!QleachTIME3</vt:lpstr>
      <vt:lpstr>'PT8-treatd wood in service UC3 '!QleachTIME3_bridge</vt:lpstr>
      <vt:lpstr>'PT8-treatd wood in service UC3 '!QleachTIME3_fence</vt:lpstr>
      <vt:lpstr>'PT8-treatd wood in service UC4a'!QleachTIME3_Fpost</vt:lpstr>
      <vt:lpstr>'PT8-treatd wood in service UC3 '!QleachTIME3_house</vt:lpstr>
      <vt:lpstr>'PT8-treatd wood in service UC4b'!QleachTIME3_jetty</vt:lpstr>
      <vt:lpstr>'PT8-treatd wood in service UC3 '!QleachTIME3_noisebarrier</vt:lpstr>
      <vt:lpstr>'PT8-treatd wood in service UC4b'!QleachTIME3_SP</vt:lpstr>
      <vt:lpstr>'PT8-treatd wood in service UC4a'!QleachTIME3_Tpole</vt:lpstr>
      <vt:lpstr>'PT8-automated spraying'!Qproduct</vt:lpstr>
      <vt:lpstr>'PT8-termite control'!Qtrench_soil</vt:lpstr>
      <vt:lpstr>'PT8-termite control'!QV_leach_time1</vt:lpstr>
      <vt:lpstr>'PT8-termite control'!QVapplic_product_post</vt:lpstr>
      <vt:lpstr>'PT8-termite control'!QVapplic_product_prev</vt:lpstr>
      <vt:lpstr>'PT8-automated spraying'!RHOproduct</vt:lpstr>
      <vt:lpstr>'PT8-in-situ spraying'!RHOproduct</vt:lpstr>
      <vt:lpstr>'PT8-prof&amp;amateur in situ treatm'!RHOproduct</vt:lpstr>
      <vt:lpstr>'PT8-injection'!RHOproduct_inj</vt:lpstr>
      <vt:lpstr>'PT8-termite control'!RHOproduct_post</vt:lpstr>
      <vt:lpstr>'PT8-termite control'!RHOproduct_prev</vt:lpstr>
      <vt:lpstr>'PT8-automated spraying'!RHOsoil</vt:lpstr>
      <vt:lpstr>'PT8-dipping_immersion processes'!RHOsoil</vt:lpstr>
      <vt:lpstr>'PT8-injection'!RHOsoil</vt:lpstr>
      <vt:lpstr>'PT8-in-situ spraying'!RHOsoil</vt:lpstr>
      <vt:lpstr>'PT8-prof&amp;amateur in situ treatm'!RHOsoil</vt:lpstr>
      <vt:lpstr>'PT8-vacuum_double vacuum proc'!RHOsoil</vt:lpstr>
      <vt:lpstr>'PT8-wrapping'!RHOsoil</vt:lpstr>
      <vt:lpstr>'PT8-treatd wood in service UC3 '!RHOsoil_fence</vt:lpstr>
      <vt:lpstr>'PT8-treatd wood in service UC4a'!RHOsoil_Fpost</vt:lpstr>
      <vt:lpstr>'PT8-treatd wood in service UC3 '!RHOsoil_house</vt:lpstr>
      <vt:lpstr>'PT8-treatd wood in service UC3 '!RHOsoil_noisebarrier</vt:lpstr>
      <vt:lpstr>'PT8-termite control'!RHOsoil_post</vt:lpstr>
      <vt:lpstr>'PT8-termite control'!RHOsoil_prev</vt:lpstr>
      <vt:lpstr>'PT8-treatd wood in service UC4a'!RHOsoil_Tpole</vt:lpstr>
      <vt:lpstr>'PT8-treatd wood in service UC3 '!SUSPwater</vt:lpstr>
      <vt:lpstr>'PT8-treatd wood in service UC4b'!TAU_wway</vt:lpstr>
      <vt:lpstr>'PT8-treatd wood in service UC5'!TAUseawater</vt:lpstr>
      <vt:lpstr>'PT8-termite control'!TIME_applic_post</vt:lpstr>
      <vt:lpstr>'PT8-termite control'!TIME_applic_prev</vt:lpstr>
      <vt:lpstr>'PT8-termite control'!TIME_service_life_post</vt:lpstr>
      <vt:lpstr>'PT8-termite control'!TIME_service_life_prev</vt:lpstr>
      <vt:lpstr>'PT8-automated spraying'!TIME1</vt:lpstr>
      <vt:lpstr>'PT8-dipping_immersion processes'!TIME1</vt:lpstr>
      <vt:lpstr>'PT8-injection'!TIME1</vt:lpstr>
      <vt:lpstr>'PT8-in-situ spraying'!TIME1</vt:lpstr>
      <vt:lpstr>'PT8-railway sleepers'!TIME1</vt:lpstr>
      <vt:lpstr>'PT8-treatd wood in service UC5'!TIME1</vt:lpstr>
      <vt:lpstr>'PT8-vacuum_double vacuum proc'!TIME1</vt:lpstr>
      <vt:lpstr>'PT8-wrapping'!TIME1</vt:lpstr>
      <vt:lpstr>'PT8-treatd wood in service UC3 '!TIME1_bridge</vt:lpstr>
      <vt:lpstr>'PT8-treatd wood in service UC4a'!TIME1_deck_fence</vt:lpstr>
      <vt:lpstr>'PT8-dock and deck-fence'!TIME1_dock</vt:lpstr>
      <vt:lpstr>'PT8-treatd wood in service UC3 '!TIME1_fence</vt:lpstr>
      <vt:lpstr>'PT8-treatd wood in service UC4a'!TIME1_Fpost</vt:lpstr>
      <vt:lpstr>'PT8-treatd wood in service UC3 '!TIME1_house</vt:lpstr>
      <vt:lpstr>TIME1_house</vt:lpstr>
      <vt:lpstr>'PT8-treatd wood in service UC4b'!TIME1_jetty</vt:lpstr>
      <vt:lpstr>'PT8-treatd wood in service UC3 '!TIME1_noisebarrier</vt:lpstr>
      <vt:lpstr>'PT8-treatd wood in service UC4b'!TIME1_SP</vt:lpstr>
      <vt:lpstr>'PT8-treatd wood in service UC4a'!TIME1_Tpole</vt:lpstr>
      <vt:lpstr>'PT8-automated spraying'!TIME2</vt:lpstr>
      <vt:lpstr>'PT8-dipping_immersion processes'!TIME2</vt:lpstr>
      <vt:lpstr>'PT8-injection'!TIME2</vt:lpstr>
      <vt:lpstr>'PT8-in-situ spraying'!TIME2</vt:lpstr>
      <vt:lpstr>'PT8-railway sleepers'!TIME2</vt:lpstr>
      <vt:lpstr>'PT8-treatd wood in service UC5'!TIME2</vt:lpstr>
      <vt:lpstr>'PT8-vacuum_double vacuum proc'!TIME2</vt:lpstr>
      <vt:lpstr>'PT8-wrapping'!TIME2</vt:lpstr>
      <vt:lpstr>'PT8-treatd wood in service UC3 '!TIME2_bridge</vt:lpstr>
      <vt:lpstr>'PT8-dock and deck-fence'!TIME2_dock</vt:lpstr>
      <vt:lpstr>'PT8-treatd wood in service UC3 '!TIME2_fence</vt:lpstr>
      <vt:lpstr>'PT8-treatd wood in service UC4a'!TIME2_Fpost</vt:lpstr>
      <vt:lpstr>'PT8-treatd wood in service UC3 '!TIME2_house</vt:lpstr>
      <vt:lpstr>'PT8-treatd wood in service UC4b'!TIME2_jetty</vt:lpstr>
      <vt:lpstr>'PT8-treatd wood in service UC3 '!TIME2_noisebarrier</vt:lpstr>
      <vt:lpstr>'PT8-treatd wood in service UC4b'!TIME2_SP</vt:lpstr>
      <vt:lpstr>'PT8-treatd wood in service UC4a'!TIME2_Tpole</vt:lpstr>
      <vt:lpstr>'PT8-injection'!TIME3</vt:lpstr>
      <vt:lpstr>'PT8-in-situ spraying'!TIME3</vt:lpstr>
      <vt:lpstr>'PT8-railway sleepers'!TIME3</vt:lpstr>
      <vt:lpstr>'PT8-treatd wood in service UC5'!TIME3</vt:lpstr>
      <vt:lpstr>'PT8-wrapping'!TIME3</vt:lpstr>
      <vt:lpstr>'PT8-treatd wood in service UC3 '!TIME3_bridge</vt:lpstr>
      <vt:lpstr>'PT8-dock and deck-fence'!TIME3_deck_fence</vt:lpstr>
      <vt:lpstr>'PT8-dock and deck-fence'!TIME3_dock</vt:lpstr>
      <vt:lpstr>'PT8-treatd wood in service UC3 '!TIME3_fence</vt:lpstr>
      <vt:lpstr>'PT8-treatd wood in service UC4a'!TIME3_Fpost</vt:lpstr>
      <vt:lpstr>'PT8-treatd wood in service UC3 '!TIME3_house</vt:lpstr>
      <vt:lpstr>'PT8-treatd wood in service UC4b'!TIME3_jetty</vt:lpstr>
      <vt:lpstr>'PT8-treatd wood in service UC3 '!TIME3_noisebarrier</vt:lpstr>
      <vt:lpstr>'PT8-treatd wood in service UC4b'!TIME3_SP</vt:lpstr>
      <vt:lpstr>'PT8-treatd wood in service UC4a'!TIME3_Tpole</vt:lpstr>
      <vt:lpstr>'PT8-termite control'!TOTAL_product_applic_post</vt:lpstr>
      <vt:lpstr>'PT8-termite control'!TOTALproduct_applic</vt:lpstr>
      <vt:lpstr>'PT8-termite control'!TOTALproduct_leach_post</vt:lpstr>
      <vt:lpstr>'PT8-termite control'!TOTALproduct_leach_prev</vt:lpstr>
      <vt:lpstr>'PT8-indoor fumigation'!Trelease</vt:lpstr>
      <vt:lpstr>Units</vt:lpstr>
      <vt:lpstr>vapour_pressure</vt:lpstr>
      <vt:lpstr>'PT8-indoor fumigation'!Vfumigated</vt:lpstr>
      <vt:lpstr>'PT8-termite control'!VOLUME_adj_prev_sv</vt:lpstr>
      <vt:lpstr>'PT8-vacuum_double vacuum proc'!Volume_wood_treated</vt:lpstr>
      <vt:lpstr>'PT8-termite control'!VOLUMEadjtrench_soil</vt:lpstr>
      <vt:lpstr>'PT8-termite control'!VOLUMEtreated_interiorsoil_post</vt:lpstr>
      <vt:lpstr>'PT8-termite control'!VOLUMEtreated_interiorsoil_prev</vt:lpstr>
      <vt:lpstr>'PT8-termite control'!VOLUMEtreated_soil_total_post</vt:lpstr>
      <vt:lpstr>'PT8-termite control'!VOLUMEtreated_soil_total_prev</vt:lpstr>
      <vt:lpstr>'PT8-termite control'!VOLUMEtreated_trench</vt:lpstr>
      <vt:lpstr>'PT8-dipping_immersion processes'!VOLUMEwood_treated</vt:lpstr>
      <vt:lpstr>VP_termite</vt:lpstr>
      <vt:lpstr>'PT8-treatd wood in service UC3 '!Vsed</vt:lpstr>
      <vt:lpstr>'PT8-automated spraying'!Vsoil</vt:lpstr>
      <vt:lpstr>'PT8-dipping_immersion processes'!Vsoil</vt:lpstr>
      <vt:lpstr>'PT8-injection'!Vsoil</vt:lpstr>
      <vt:lpstr>'PT8-in-situ spraying'!Vsoil</vt:lpstr>
      <vt:lpstr>'PT8-vacuum_double vacuum proc'!Vsoil</vt:lpstr>
      <vt:lpstr>'PT8-wrapping'!Vsoil</vt:lpstr>
      <vt:lpstr>'PT8-in-situ spraying'!Vsoil_drift_tier2</vt:lpstr>
      <vt:lpstr>'PT8-prof&amp;amateur in situ treatm'!Vsoil_fence</vt:lpstr>
      <vt:lpstr>'PT8-treatd wood in service UC3 '!Vsoil_fence</vt:lpstr>
      <vt:lpstr>'PT8-treatd wood in service UC4a'!Vsoil_Fpost</vt:lpstr>
      <vt:lpstr>'PT8-prof&amp;amateur in situ treatm'!Vsoil_house</vt:lpstr>
      <vt:lpstr>'PT8-treatd wood in service UC3 '!Vsoil_house</vt:lpstr>
      <vt:lpstr>'PT8-treatd wood in service UC3 '!Vsoil_noisebarrier</vt:lpstr>
      <vt:lpstr>'PT8-in-situ spraying'!Vsoil_runoff_drift_tier1</vt:lpstr>
      <vt:lpstr>'PT8-treatd wood in service UC4a'!Vsoil_Tpole</vt:lpstr>
      <vt:lpstr>'PT8-prof&amp;amateur in situ treatm'!Vwater</vt:lpstr>
      <vt:lpstr>'PT8-treatd wood in service UC5'!Vwater</vt:lpstr>
      <vt:lpstr>'PT8-treatd wood in service UC3 '!Vwater_bridge</vt:lpstr>
      <vt:lpstr>'PT8-dock and deck-fence'!Vwater_deck_fence</vt:lpstr>
      <vt:lpstr>'PT8-dock and deck-fence'!Vwater_dock</vt:lpstr>
      <vt:lpstr>'PT8-treatd wood in service UC4b'!Vwater_jetty</vt:lpstr>
      <vt:lpstr>'PT8-treatd wood in service UC4b'!Vwater_SP</vt:lpstr>
      <vt:lpstr>water_solubility</vt:lpstr>
      <vt:lpstr>YesNo</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NOGUEIRO Eugenia</dc:creator>
  <cp:lastModifiedBy>NOGUEIRO Eugenia</cp:lastModifiedBy>
  <cp:lastPrinted>2018-05-02T06:52:17Z</cp:lastPrinted>
  <dcterms:created xsi:type="dcterms:W3CDTF">2015-06-18T08:46:54Z</dcterms:created>
  <dcterms:modified xsi:type="dcterms:W3CDTF">2020-02-03T13:52:30Z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ad523993-91f7-407b-8683-07f9cc1321aa</vt:lpwstr>
  </property>
</Properties>
</file>