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95"/>
  </bookViews>
  <sheets>
    <sheet name=" Introduction" sheetId="1" r:id="rId1"/>
    <sheet name="Instructions" sheetId="2" r:id="rId2"/>
    <sheet name="Index" sheetId="11" r:id="rId3"/>
    <sheet name="Z_User_Input" sheetId="10" r:id="rId4"/>
    <sheet name="D_User_Input" sheetId="38" r:id="rId5"/>
    <sheet name="Z+D_Output_Summary" sheetId="20" r:id="rId6"/>
    <sheet name="Z_Output_Summary" sheetId="30" r:id="rId7"/>
    <sheet name="D_Output_Summary" sheetId="31" r:id="rId8"/>
    <sheet name="Z+D_Output_EU marinas" sheetId="4" r:id="rId9"/>
    <sheet name="Z+D_Output_Regulatory_Marinas" sheetId="34" r:id="rId10"/>
    <sheet name="Z_Output_EU marinas" sheetId="32" r:id="rId11"/>
    <sheet name="Z_Output_Regulatory_Marinas" sheetId="35" r:id="rId12"/>
    <sheet name="D_Output_EU marinas" sheetId="33" r:id="rId13"/>
    <sheet name="D_Output_Regulatory_Marinas" sheetId="26" r:id="rId14"/>
    <sheet name="Zineb_Input" sheetId="3" r:id="rId15"/>
    <sheet name="DIDT_Input" sheetId="29" r:id="rId16"/>
    <sheet name="Z+D_EU Marinas_Scenario_Calc" sheetId="37" state="hidden" r:id="rId17"/>
    <sheet name="Z+D_Regulatory_ Marinas_Calc" sheetId="36" state="hidden" r:id="rId18"/>
    <sheet name="Z_EU Marinas_Scenario_Calc" sheetId="6" state="hidden" r:id="rId19"/>
    <sheet name="Z_Regulatory_ Marinas_Calc" sheetId="25" state="hidden" r:id="rId20"/>
    <sheet name="D_EU Marinas_Scenario_Calc" sheetId="28" state="hidden" r:id="rId21"/>
    <sheet name="D_Regulatory_ Marinas_Calc" sheetId="27" state="hidden" r:id="rId22"/>
  </sheets>
  <definedNames>
    <definedName name="Application_Conversion_Factor">'Z_EU Marinas_Scenario_Calc'!$G$17</definedName>
    <definedName name="Application_Factor">Z_User_Input!$H$7</definedName>
    <definedName name="D_a" localSheetId="4">D_User_Input!$I$22</definedName>
    <definedName name="D_Average_biocide_release_over_the_lifetime_of_the_paint_C">D_User_Input!$I$30</definedName>
    <definedName name="D_Average_biocide_release_over_the_lifetime_of_the_paint_M">D_User_Input!$H$11</definedName>
    <definedName name="D_Background_Sed_Freshwater">D_User_Input!$C$20</definedName>
    <definedName name="D_Background_SW_Freshwater">D_User_Input!$C$19</definedName>
    <definedName name="D_Compound_Name">DIDT_Input!$C$6</definedName>
    <definedName name="D_DFT" localSheetId="4">D_User_Input!$I$25</definedName>
    <definedName name="D_La" localSheetId="4">D_User_Input!$I$21</definedName>
    <definedName name="D_Leaching_Conversion_Factor">'D_EU Marinas_Scenario_Calc'!$G$11</definedName>
    <definedName name="D_Mrel" localSheetId="4">D_User_Input!$I$29</definedName>
    <definedName name="D_PNEC_Aquatic_Inside">D_User_Input!$C$12</definedName>
    <definedName name="D_PNEC_Aquatic_Surrounding">D_User_Input!$D$12</definedName>
    <definedName name="D_PNEC_Sediment_Inside">D_User_Input!$C$13</definedName>
    <definedName name="D_PNEC_Sediment_Surrounding">D_User_Input!$D$13</definedName>
    <definedName name="D_t" localSheetId="4">D_User_Input!$I$27</definedName>
    <definedName name="D_VS" localSheetId="4">D_User_Input!$I$26</definedName>
    <definedName name="D_ƿ" localSheetId="4">D_User_Input!$I$24</definedName>
    <definedName name="D_Wa" localSheetId="4">D_User_Input!$I$23</definedName>
    <definedName name="Substance">' Introduction'!$B$4</definedName>
    <definedName name="Tooltype">' Introduction'!$B$5</definedName>
    <definedName name="Version">' Introduction'!$B$3</definedName>
    <definedName name="WSA_ConversionFactor">'Z_EU Marinas_Scenario_Calc'!$P$8</definedName>
    <definedName name="WSA_freshwater">'Z_EU Marinas_Scenario_Calc'!$P$7</definedName>
    <definedName name="WSA_OECD_default">'Z_EU Marinas_Scenario_Calc'!$P$6</definedName>
    <definedName name="Z_a">Z_User_Input!$I$22</definedName>
    <definedName name="Z_Average_biocide_release_over_the_lifetime_of_the_paint_C">Z_User_Input!$I$30</definedName>
    <definedName name="Z_Average_biocide_release_over_the_lifetime_of_the_paint_M">Z_User_Input!$H$11</definedName>
    <definedName name="Z_Background_Sed_Freshwater">Z_User_Input!$C$20</definedName>
    <definedName name="Z_Background_SW_Freshwater">Z_User_Input!$C$19</definedName>
    <definedName name="Z_Compound_Name">Zineb_Input!$C$6</definedName>
    <definedName name="Z_DFT">Z_User_Input!$I$25</definedName>
    <definedName name="Z_La">Z_User_Input!$I$21</definedName>
    <definedName name="Z_Leaching_Conversion_Factor">'Z_EU Marinas_Scenario_Calc'!$G$11</definedName>
    <definedName name="Z_Mrel">Z_User_Input!$I$29</definedName>
    <definedName name="Z_PNEC_Aquatic_Inside">Z_User_Input!$C$12</definedName>
    <definedName name="Z_PNEC_Aquatic_Surrounding">Z_User_Input!$D$12</definedName>
    <definedName name="Z_PNEC_Sediment_Inside">Z_User_Input!$C$13</definedName>
    <definedName name="Z_PNEC_Sediment_Surrounding">Z_User_Input!$D$13</definedName>
    <definedName name="Z_t">Z_User_Input!$I$27</definedName>
    <definedName name="Z_VS">Z_User_Input!$I$26</definedName>
    <definedName name="Z_ƿ">Z_User_Input!$I$24</definedName>
    <definedName name="Z_Wa">Z_User_Input!$I$23</definedName>
  </definedNames>
  <calcPr calcId="145621"/>
</workbook>
</file>

<file path=xl/calcChain.xml><?xml version="1.0" encoding="utf-8"?>
<calcChain xmlns="http://schemas.openxmlformats.org/spreadsheetml/2006/main">
  <c r="J21" i="25" l="1"/>
  <c r="K21" i="25"/>
  <c r="L21" i="25"/>
  <c r="J22" i="25"/>
  <c r="K22" i="25"/>
  <c r="L22" i="25"/>
  <c r="I22" i="25"/>
  <c r="I21" i="25"/>
  <c r="P8" i="28" l="1"/>
  <c r="P7" i="28"/>
  <c r="P6" i="28"/>
  <c r="P8" i="6"/>
  <c r="P22" i="27" l="1"/>
  <c r="O22" i="27"/>
  <c r="N22" i="27"/>
  <c r="M22" i="27"/>
  <c r="C22" i="27"/>
  <c r="P21" i="27"/>
  <c r="O21" i="27"/>
  <c r="N21" i="27"/>
  <c r="M21" i="27"/>
  <c r="C21" i="27"/>
  <c r="G16" i="27"/>
  <c r="G9" i="27"/>
  <c r="G7" i="27"/>
  <c r="B3" i="27"/>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R21" i="28"/>
  <c r="Q21" i="28"/>
  <c r="P21" i="28"/>
  <c r="O21" i="28"/>
  <c r="E21" i="28"/>
  <c r="G16" i="28"/>
  <c r="G9" i="28"/>
  <c r="G7" i="28"/>
  <c r="B3" i="28"/>
  <c r="P22" i="25"/>
  <c r="O22" i="25"/>
  <c r="N22" i="25"/>
  <c r="M22" i="25"/>
  <c r="C22" i="25"/>
  <c r="P21" i="25"/>
  <c r="O21" i="25"/>
  <c r="N21" i="25"/>
  <c r="M21" i="25"/>
  <c r="C21" i="25"/>
  <c r="G16" i="25"/>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8" i="36"/>
  <c r="C7" i="36"/>
  <c r="B3" i="36"/>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E7" i="37"/>
  <c r="B3" i="37"/>
  <c r="C13" i="26"/>
  <c r="C12" i="26"/>
  <c r="E8" i="26"/>
  <c r="E7" i="26"/>
  <c r="E6" i="26"/>
  <c r="E5" i="26"/>
  <c r="B3" i="26"/>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G8" i="33"/>
  <c r="G7" i="33"/>
  <c r="G6" i="33"/>
  <c r="G5" i="33"/>
  <c r="B3" i="33"/>
  <c r="C13" i="35"/>
  <c r="C12" i="35"/>
  <c r="E8" i="35"/>
  <c r="E7" i="35"/>
  <c r="E6" i="35"/>
  <c r="E5" i="35"/>
  <c r="B3" i="35"/>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G8" i="32"/>
  <c r="G7" i="32"/>
  <c r="G6" i="32"/>
  <c r="G5" i="32"/>
  <c r="B3" i="32"/>
  <c r="C13" i="34"/>
  <c r="C12" i="34"/>
  <c r="E8" i="34"/>
  <c r="E7" i="34"/>
  <c r="E6" i="34"/>
  <c r="E5" i="34"/>
  <c r="B3" i="3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31"/>
  <c r="F23" i="31"/>
  <c r="G19" i="31"/>
  <c r="G18" i="31"/>
  <c r="G17" i="31"/>
  <c r="G16" i="31"/>
  <c r="F12" i="31"/>
  <c r="D7" i="31"/>
  <c r="D6" i="31"/>
  <c r="C4" i="31"/>
  <c r="M3" i="31"/>
  <c r="G23" i="30"/>
  <c r="F23" i="30"/>
  <c r="G19" i="30"/>
  <c r="G18" i="30"/>
  <c r="G17" i="30"/>
  <c r="G16" i="30"/>
  <c r="F12" i="30"/>
  <c r="D7" i="30"/>
  <c r="D6" i="30"/>
  <c r="C4" i="30"/>
  <c r="M3" i="30"/>
  <c r="G31" i="20"/>
  <c r="F31" i="20"/>
  <c r="C29" i="20"/>
  <c r="G26" i="20"/>
  <c r="F26" i="20"/>
  <c r="C24" i="20"/>
  <c r="H21" i="20"/>
  <c r="G21" i="20"/>
  <c r="H20" i="20"/>
  <c r="G20" i="20"/>
  <c r="H19" i="20"/>
  <c r="G19" i="20"/>
  <c r="H18" i="20"/>
  <c r="G18" i="20"/>
  <c r="H17" i="20"/>
  <c r="G17" i="20"/>
  <c r="H13" i="20"/>
  <c r="G13" i="20"/>
  <c r="H12" i="20"/>
  <c r="G12" i="20"/>
  <c r="D7" i="20"/>
  <c r="D6" i="20"/>
  <c r="C4" i="20"/>
  <c r="M3" i="20"/>
  <c r="B3" i="29"/>
  <c r="B3" i="3"/>
  <c r="I29" i="38"/>
  <c r="I30" i="38" s="1"/>
  <c r="H7" i="38"/>
  <c r="B6" i="38"/>
  <c r="B3" i="38"/>
  <c r="I29" i="10"/>
  <c r="I30" i="10" s="1"/>
  <c r="B6" i="10"/>
  <c r="B3" i="10"/>
  <c r="B3" i="11"/>
  <c r="G8" i="27" l="1"/>
  <c r="G10" i="27"/>
  <c r="G11" i="27" s="1"/>
  <c r="G8" i="28"/>
  <c r="F13" i="31"/>
  <c r="G8" i="25"/>
  <c r="G8" i="6"/>
  <c r="G14" i="20"/>
  <c r="H14" i="20"/>
  <c r="F13" i="30"/>
  <c r="G10" i="6"/>
  <c r="G11" i="6" s="1"/>
  <c r="G10" i="28"/>
  <c r="G11" i="28" s="1"/>
  <c r="G17" i="27"/>
  <c r="G17" i="28"/>
  <c r="G17" i="25"/>
  <c r="G10" i="25"/>
  <c r="G11" i="25" s="1"/>
  <c r="J21" i="27" l="1"/>
  <c r="K21" i="27"/>
  <c r="J22" i="27"/>
  <c r="L22" i="27"/>
  <c r="I21" i="27"/>
  <c r="L21" i="27"/>
  <c r="K22" i="27"/>
  <c r="I22" i="27"/>
  <c r="M66" i="6"/>
  <c r="K66" i="6"/>
  <c r="N65" i="6"/>
  <c r="L65" i="6"/>
  <c r="M64" i="6"/>
  <c r="K64" i="6"/>
  <c r="N63" i="6"/>
  <c r="L63" i="6"/>
  <c r="M62" i="6"/>
  <c r="K62" i="6"/>
  <c r="N61" i="6"/>
  <c r="L61" i="6"/>
  <c r="M60" i="6"/>
  <c r="K60" i="6"/>
  <c r="N59" i="6"/>
  <c r="L59" i="6"/>
  <c r="M58" i="6"/>
  <c r="K58" i="6"/>
  <c r="N57" i="6"/>
  <c r="L57" i="6"/>
  <c r="M56" i="6"/>
  <c r="K56" i="6"/>
  <c r="N55" i="6"/>
  <c r="L55" i="6"/>
  <c r="M54" i="6"/>
  <c r="K54" i="6"/>
  <c r="N53" i="6"/>
  <c r="L53" i="6"/>
  <c r="M52" i="6"/>
  <c r="K52" i="6"/>
  <c r="N51" i="6"/>
  <c r="L51" i="6"/>
  <c r="M50" i="6"/>
  <c r="K50" i="6"/>
  <c r="N49" i="6"/>
  <c r="L49" i="6"/>
  <c r="M48" i="6"/>
  <c r="K48" i="6"/>
  <c r="N47" i="6"/>
  <c r="L47" i="6"/>
  <c r="M46" i="6"/>
  <c r="K46" i="6"/>
  <c r="N45" i="6"/>
  <c r="L45" i="6"/>
  <c r="M44" i="6"/>
  <c r="K44" i="6"/>
  <c r="N43" i="6"/>
  <c r="L43" i="6"/>
  <c r="M42" i="6"/>
  <c r="K42" i="6"/>
  <c r="N41" i="6"/>
  <c r="L41" i="6"/>
  <c r="M40" i="6"/>
  <c r="K40" i="6"/>
  <c r="N39" i="6"/>
  <c r="L39" i="6"/>
  <c r="M38" i="6"/>
  <c r="K38" i="6"/>
  <c r="N37" i="6"/>
  <c r="L37" i="6"/>
  <c r="M36" i="6"/>
  <c r="K36" i="6"/>
  <c r="N35" i="6"/>
  <c r="L35" i="6"/>
  <c r="M34" i="6"/>
  <c r="K34" i="6"/>
  <c r="N33" i="6"/>
  <c r="L33" i="6"/>
  <c r="M32" i="6"/>
  <c r="K32" i="6"/>
  <c r="N31" i="6"/>
  <c r="L31" i="6"/>
  <c r="M30" i="6"/>
  <c r="K30" i="6"/>
  <c r="N29" i="6"/>
  <c r="L29" i="6"/>
  <c r="M28" i="6"/>
  <c r="K28" i="6"/>
  <c r="N27" i="6"/>
  <c r="L27" i="6"/>
  <c r="M26" i="6"/>
  <c r="N66" i="6"/>
  <c r="K65" i="6"/>
  <c r="N64" i="6"/>
  <c r="K63" i="6"/>
  <c r="N62" i="6"/>
  <c r="K61" i="6"/>
  <c r="N60" i="6"/>
  <c r="K59" i="6"/>
  <c r="N58" i="6"/>
  <c r="K57" i="6"/>
  <c r="N56" i="6"/>
  <c r="K55" i="6"/>
  <c r="N54" i="6"/>
  <c r="K53" i="6"/>
  <c r="N52" i="6"/>
  <c r="K51" i="6"/>
  <c r="N50" i="6"/>
  <c r="K49" i="6"/>
  <c r="N48" i="6"/>
  <c r="K47" i="6"/>
  <c r="N46" i="6"/>
  <c r="K45" i="6"/>
  <c r="N44" i="6"/>
  <c r="K43" i="6"/>
  <c r="N42" i="6"/>
  <c r="K41" i="6"/>
  <c r="N40" i="6"/>
  <c r="K39" i="6"/>
  <c r="N38" i="6"/>
  <c r="K37" i="6"/>
  <c r="N36" i="6"/>
  <c r="K35" i="6"/>
  <c r="N34" i="6"/>
  <c r="K33" i="6"/>
  <c r="N32" i="6"/>
  <c r="K31" i="6"/>
  <c r="N30" i="6"/>
  <c r="K29" i="6"/>
  <c r="N28" i="6"/>
  <c r="K27" i="6"/>
  <c r="N26" i="6"/>
  <c r="K26" i="6"/>
  <c r="N25" i="6"/>
  <c r="L25" i="6"/>
  <c r="M24" i="6"/>
  <c r="K24" i="6"/>
  <c r="N23" i="6"/>
  <c r="L23" i="6"/>
  <c r="M22" i="6"/>
  <c r="K22" i="6"/>
  <c r="N21" i="6"/>
  <c r="L21" i="6"/>
  <c r="M65" i="6"/>
  <c r="M63" i="6"/>
  <c r="M61" i="6"/>
  <c r="M59" i="6"/>
  <c r="M57" i="6"/>
  <c r="M55" i="6"/>
  <c r="M53" i="6"/>
  <c r="M51" i="6"/>
  <c r="M49" i="6"/>
  <c r="M47" i="6"/>
  <c r="M45" i="6"/>
  <c r="M43" i="6"/>
  <c r="M41" i="6"/>
  <c r="M39" i="6"/>
  <c r="M37" i="6"/>
  <c r="M35" i="6"/>
  <c r="M33" i="6"/>
  <c r="M31" i="6"/>
  <c r="M29" i="6"/>
  <c r="M27" i="6"/>
  <c r="K25" i="6"/>
  <c r="N24" i="6"/>
  <c r="K23" i="6"/>
  <c r="N22" i="6"/>
  <c r="K21" i="6"/>
  <c r="M25" i="6"/>
  <c r="M23" i="6"/>
  <c r="M21" i="6"/>
  <c r="L66" i="6"/>
  <c r="L64" i="6"/>
  <c r="L62" i="6"/>
  <c r="L60" i="6"/>
  <c r="L58" i="6"/>
  <c r="L56" i="6"/>
  <c r="L54" i="6"/>
  <c r="L52" i="6"/>
  <c r="L50" i="6"/>
  <c r="L48" i="6"/>
  <c r="L46" i="6"/>
  <c r="L44" i="6"/>
  <c r="L42" i="6"/>
  <c r="L40" i="6"/>
  <c r="L38" i="6"/>
  <c r="L36" i="6"/>
  <c r="L34" i="6"/>
  <c r="L32" i="6"/>
  <c r="L30" i="6"/>
  <c r="L28" i="6"/>
  <c r="L26" i="6"/>
  <c r="L24" i="6"/>
  <c r="L22" i="6"/>
  <c r="N66" i="28"/>
  <c r="L66" i="28"/>
  <c r="M65" i="28"/>
  <c r="K65" i="28"/>
  <c r="N64" i="28"/>
  <c r="L64" i="28"/>
  <c r="M63" i="28"/>
  <c r="K63" i="28"/>
  <c r="N62" i="28"/>
  <c r="L62" i="28"/>
  <c r="M61" i="28"/>
  <c r="K61" i="28"/>
  <c r="N60" i="28"/>
  <c r="L60" i="28"/>
  <c r="M59" i="28"/>
  <c r="K59" i="28"/>
  <c r="N58" i="28"/>
  <c r="L58" i="28"/>
  <c r="M57" i="28"/>
  <c r="K57" i="28"/>
  <c r="K66" i="28"/>
  <c r="N65" i="28"/>
  <c r="K64" i="28"/>
  <c r="N63" i="28"/>
  <c r="K62" i="28"/>
  <c r="N61" i="28"/>
  <c r="K60" i="28"/>
  <c r="N59" i="28"/>
  <c r="K58" i="28"/>
  <c r="N57" i="28"/>
  <c r="M56" i="28"/>
  <c r="K56" i="28"/>
  <c r="N55" i="28"/>
  <c r="L55" i="28"/>
  <c r="M54" i="28"/>
  <c r="K54" i="28"/>
  <c r="N53" i="28"/>
  <c r="L53" i="28"/>
  <c r="M52" i="28"/>
  <c r="K52" i="28"/>
  <c r="N51" i="28"/>
  <c r="L51" i="28"/>
  <c r="M50" i="28"/>
  <c r="K50" i="28"/>
  <c r="N49" i="28"/>
  <c r="L49" i="28"/>
  <c r="M48" i="28"/>
  <c r="K48" i="28"/>
  <c r="N47" i="28"/>
  <c r="L47" i="28"/>
  <c r="M46" i="28"/>
  <c r="K46" i="28"/>
  <c r="N45" i="28"/>
  <c r="L45" i="28"/>
  <c r="M44" i="28"/>
  <c r="K44" i="28"/>
  <c r="N43" i="28"/>
  <c r="L43" i="28"/>
  <c r="M42" i="28"/>
  <c r="K42" i="28"/>
  <c r="N41" i="28"/>
  <c r="L41" i="28"/>
  <c r="M40" i="28"/>
  <c r="K40" i="28"/>
  <c r="N39" i="28"/>
  <c r="L39" i="28"/>
  <c r="M38" i="28"/>
  <c r="K38" i="28"/>
  <c r="N37" i="28"/>
  <c r="L37" i="28"/>
  <c r="M36" i="28"/>
  <c r="K36" i="28"/>
  <c r="N35" i="28"/>
  <c r="L35" i="28"/>
  <c r="M34" i="28"/>
  <c r="K34" i="28"/>
  <c r="N33" i="28"/>
  <c r="L33" i="28"/>
  <c r="M32" i="28"/>
  <c r="K32" i="28"/>
  <c r="N31" i="28"/>
  <c r="L31" i="28"/>
  <c r="M30" i="28"/>
  <c r="K30" i="28"/>
  <c r="N29" i="28"/>
  <c r="L29" i="28"/>
  <c r="M28" i="28"/>
  <c r="K28" i="28"/>
  <c r="N27" i="28"/>
  <c r="L27" i="28"/>
  <c r="M26" i="28"/>
  <c r="K26" i="28"/>
  <c r="N25" i="28"/>
  <c r="L25" i="28"/>
  <c r="M24" i="28"/>
  <c r="M66" i="28"/>
  <c r="M64" i="28"/>
  <c r="M62" i="28"/>
  <c r="M60" i="28"/>
  <c r="M58" i="28"/>
  <c r="N56" i="28"/>
  <c r="K55" i="28"/>
  <c r="N54" i="28"/>
  <c r="K53" i="28"/>
  <c r="N52" i="28"/>
  <c r="K51" i="28"/>
  <c r="N50" i="28"/>
  <c r="K49" i="28"/>
  <c r="N48" i="28"/>
  <c r="K47" i="28"/>
  <c r="N46" i="28"/>
  <c r="K45" i="28"/>
  <c r="N44" i="28"/>
  <c r="K43" i="28"/>
  <c r="N42" i="28"/>
  <c r="K41" i="28"/>
  <c r="N40" i="28"/>
  <c r="K39" i="28"/>
  <c r="N38" i="28"/>
  <c r="K37" i="28"/>
  <c r="N36" i="28"/>
  <c r="K35" i="28"/>
  <c r="N34" i="28"/>
  <c r="K33" i="28"/>
  <c r="N32" i="28"/>
  <c r="K31" i="28"/>
  <c r="N30" i="28"/>
  <c r="K29" i="28"/>
  <c r="N28" i="28"/>
  <c r="K27" i="28"/>
  <c r="N26" i="28"/>
  <c r="K25" i="28"/>
  <c r="N24" i="28"/>
  <c r="K24" i="28"/>
  <c r="N23" i="28"/>
  <c r="L23" i="28"/>
  <c r="M22" i="28"/>
  <c r="K22" i="28"/>
  <c r="N21" i="28"/>
  <c r="L21" i="28"/>
  <c r="L65" i="28"/>
  <c r="L63" i="28"/>
  <c r="L61" i="28"/>
  <c r="L59" i="28"/>
  <c r="L57" i="28"/>
  <c r="L56" i="28"/>
  <c r="M55" i="28"/>
  <c r="L54" i="28"/>
  <c r="M53" i="28"/>
  <c r="L52" i="28"/>
  <c r="M51" i="28"/>
  <c r="L50" i="28"/>
  <c r="M49" i="28"/>
  <c r="L48" i="28"/>
  <c r="M47" i="28"/>
  <c r="L46" i="28"/>
  <c r="M45" i="28"/>
  <c r="L44" i="28"/>
  <c r="M43" i="28"/>
  <c r="L42" i="28"/>
  <c r="M41" i="28"/>
  <c r="L40" i="28"/>
  <c r="M39" i="28"/>
  <c r="L38" i="28"/>
  <c r="M37" i="28"/>
  <c r="L36" i="28"/>
  <c r="M35" i="28"/>
  <c r="L34" i="28"/>
  <c r="M33" i="28"/>
  <c r="L32" i="28"/>
  <c r="M31" i="28"/>
  <c r="L30" i="28"/>
  <c r="M29" i="28"/>
  <c r="L28" i="28"/>
  <c r="M27" i="28"/>
  <c r="L26" i="28"/>
  <c r="M25" i="28"/>
  <c r="K23" i="28"/>
  <c r="N22" i="28"/>
  <c r="K21" i="28"/>
  <c r="M23" i="28"/>
  <c r="M21" i="28"/>
  <c r="L24" i="28"/>
  <c r="L22" i="28"/>
  <c r="T22" i="28" l="1"/>
  <c r="G13" i="33"/>
  <c r="G39" i="31"/>
  <c r="M74" i="28"/>
  <c r="M73" i="28"/>
  <c r="M72" i="28"/>
  <c r="M71" i="28"/>
  <c r="M70" i="28"/>
  <c r="M69" i="28"/>
  <c r="H58" i="33" s="1"/>
  <c r="M68" i="28"/>
  <c r="H60" i="33" s="1"/>
  <c r="M67" i="28"/>
  <c r="H59" i="33" s="1"/>
  <c r="H12" i="33"/>
  <c r="H38" i="31"/>
  <c r="U21" i="28"/>
  <c r="K74" i="28"/>
  <c r="K73" i="28"/>
  <c r="K72" i="28"/>
  <c r="K71" i="28"/>
  <c r="K70" i="28"/>
  <c r="K69" i="28"/>
  <c r="F58" i="33" s="1"/>
  <c r="K68" i="28"/>
  <c r="F60" i="33" s="1"/>
  <c r="K67" i="28"/>
  <c r="F59" i="33" s="1"/>
  <c r="S21" i="28"/>
  <c r="F12" i="33"/>
  <c r="F38" i="31"/>
  <c r="S23" i="28"/>
  <c r="F14" i="33"/>
  <c r="F40" i="31"/>
  <c r="T26" i="28"/>
  <c r="G17" i="33"/>
  <c r="G43" i="31"/>
  <c r="T28" i="28"/>
  <c r="G19" i="33"/>
  <c r="G45" i="31"/>
  <c r="T30" i="28"/>
  <c r="G21" i="33"/>
  <c r="G47" i="31"/>
  <c r="T32" i="28"/>
  <c r="G23" i="33"/>
  <c r="G49" i="31"/>
  <c r="T34" i="28"/>
  <c r="G25" i="33"/>
  <c r="G51" i="31"/>
  <c r="T36" i="28"/>
  <c r="G27" i="33"/>
  <c r="G53" i="31"/>
  <c r="T38" i="28"/>
  <c r="G29" i="33"/>
  <c r="G55" i="31"/>
  <c r="T40" i="28"/>
  <c r="G31" i="33"/>
  <c r="G57" i="31"/>
  <c r="T42" i="28"/>
  <c r="G33" i="33"/>
  <c r="G59" i="31"/>
  <c r="T44" i="28"/>
  <c r="G35" i="33"/>
  <c r="G61" i="31"/>
  <c r="T46" i="28"/>
  <c r="G37" i="33"/>
  <c r="G63" i="31"/>
  <c r="T48" i="28"/>
  <c r="G39" i="33"/>
  <c r="G65" i="31"/>
  <c r="T50" i="28"/>
  <c r="G41" i="33"/>
  <c r="G67" i="31"/>
  <c r="T52" i="28"/>
  <c r="G43" i="33"/>
  <c r="G69" i="31"/>
  <c r="T54" i="28"/>
  <c r="G45" i="33"/>
  <c r="G71" i="31"/>
  <c r="T56" i="28"/>
  <c r="G47" i="33"/>
  <c r="G73" i="31"/>
  <c r="T59" i="28"/>
  <c r="G50" i="33"/>
  <c r="G76" i="31"/>
  <c r="T63" i="28"/>
  <c r="G54" i="33"/>
  <c r="G80" i="31"/>
  <c r="Q22" i="27"/>
  <c r="F85" i="31"/>
  <c r="N74" i="28"/>
  <c r="N73" i="28"/>
  <c r="N72" i="28"/>
  <c r="N71" i="28"/>
  <c r="N70" i="28"/>
  <c r="N69" i="28"/>
  <c r="I58" i="33" s="1"/>
  <c r="N68" i="28"/>
  <c r="I60" i="33" s="1"/>
  <c r="N67" i="28"/>
  <c r="I59" i="33" s="1"/>
  <c r="V21" i="28"/>
  <c r="I12" i="33"/>
  <c r="I38" i="31"/>
  <c r="U22" i="28"/>
  <c r="H13" i="33"/>
  <c r="H39" i="31"/>
  <c r="V23" i="28"/>
  <c r="I14" i="33"/>
  <c r="I40" i="31"/>
  <c r="V24" i="28"/>
  <c r="I15" i="33"/>
  <c r="I41" i="31"/>
  <c r="V26" i="28"/>
  <c r="I17" i="33"/>
  <c r="I43" i="31"/>
  <c r="V28" i="28"/>
  <c r="I19" i="33"/>
  <c r="I45" i="31"/>
  <c r="V30" i="28"/>
  <c r="I21" i="33"/>
  <c r="I47" i="31"/>
  <c r="V32" i="28"/>
  <c r="I23" i="33"/>
  <c r="I49" i="31"/>
  <c r="V34" i="28"/>
  <c r="I25" i="33"/>
  <c r="I51" i="31"/>
  <c r="V36" i="28"/>
  <c r="I27" i="33"/>
  <c r="I53" i="31"/>
  <c r="V38" i="28"/>
  <c r="I29" i="33"/>
  <c r="I55" i="31"/>
  <c r="V40" i="28"/>
  <c r="I31" i="33"/>
  <c r="I57" i="31"/>
  <c r="V42" i="28"/>
  <c r="I33" i="33"/>
  <c r="I59" i="31"/>
  <c r="V44" i="28"/>
  <c r="I35" i="33"/>
  <c r="I61" i="31"/>
  <c r="V46" i="28"/>
  <c r="I37" i="33"/>
  <c r="I63" i="31"/>
  <c r="V48" i="28"/>
  <c r="I39" i="33"/>
  <c r="I65" i="31"/>
  <c r="V50" i="28"/>
  <c r="I41" i="33"/>
  <c r="I67" i="31"/>
  <c r="V52" i="28"/>
  <c r="I43" i="33"/>
  <c r="I69" i="31"/>
  <c r="V54" i="28"/>
  <c r="I45" i="33"/>
  <c r="I71" i="31"/>
  <c r="V56" i="28"/>
  <c r="I47" i="33"/>
  <c r="I73" i="31"/>
  <c r="U60" i="28"/>
  <c r="H51" i="33"/>
  <c r="H77" i="31"/>
  <c r="U64" i="28"/>
  <c r="H55" i="33"/>
  <c r="H81" i="31"/>
  <c r="T21" i="27"/>
  <c r="G12" i="26"/>
  <c r="I84" i="31"/>
  <c r="T25" i="28"/>
  <c r="G16" i="33"/>
  <c r="G42" i="31"/>
  <c r="S26" i="28"/>
  <c r="F43" i="31"/>
  <c r="F17" i="33"/>
  <c r="T27" i="28"/>
  <c r="G18" i="33"/>
  <c r="G44" i="31"/>
  <c r="S28" i="28"/>
  <c r="F45" i="31"/>
  <c r="F19" i="33"/>
  <c r="T29" i="28"/>
  <c r="G20" i="33"/>
  <c r="G46" i="31"/>
  <c r="S30" i="28"/>
  <c r="F47" i="31"/>
  <c r="F21" i="33"/>
  <c r="T31" i="28"/>
  <c r="G22" i="33"/>
  <c r="G48" i="31"/>
  <c r="S32" i="28"/>
  <c r="F49" i="31"/>
  <c r="F23" i="33"/>
  <c r="T33" i="28"/>
  <c r="G24" i="33"/>
  <c r="G50" i="31"/>
  <c r="S34" i="28"/>
  <c r="F51" i="31"/>
  <c r="F25" i="33"/>
  <c r="T35" i="28"/>
  <c r="G26" i="33"/>
  <c r="G52" i="31"/>
  <c r="S36" i="28"/>
  <c r="F53" i="31"/>
  <c r="F27" i="33"/>
  <c r="T37" i="28"/>
  <c r="G28" i="33"/>
  <c r="G54" i="31"/>
  <c r="S38" i="28"/>
  <c r="F55" i="31"/>
  <c r="F29" i="33"/>
  <c r="T39" i="28"/>
  <c r="G30" i="33"/>
  <c r="G56" i="31"/>
  <c r="S40" i="28"/>
  <c r="F57" i="31"/>
  <c r="F31" i="33"/>
  <c r="T41" i="28"/>
  <c r="G32" i="33"/>
  <c r="G58" i="31"/>
  <c r="S42" i="28"/>
  <c r="F59" i="31"/>
  <c r="F33" i="33"/>
  <c r="T43" i="28"/>
  <c r="G34" i="33"/>
  <c r="G60" i="31"/>
  <c r="S44" i="28"/>
  <c r="F61" i="31"/>
  <c r="F35" i="33"/>
  <c r="T45" i="28"/>
  <c r="G36" i="33"/>
  <c r="G62" i="31"/>
  <c r="S46" i="28"/>
  <c r="F63" i="31"/>
  <c r="F37" i="33"/>
  <c r="T47" i="28"/>
  <c r="G38" i="33"/>
  <c r="G64" i="31"/>
  <c r="S48" i="28"/>
  <c r="F65" i="31"/>
  <c r="F39" i="33"/>
  <c r="T49" i="28"/>
  <c r="G40" i="33"/>
  <c r="G66" i="31"/>
  <c r="S50" i="28"/>
  <c r="F41" i="33"/>
  <c r="F67" i="31"/>
  <c r="T51" i="28"/>
  <c r="G42" i="33"/>
  <c r="G68" i="31"/>
  <c r="S52" i="28"/>
  <c r="F43" i="33"/>
  <c r="F69" i="31"/>
  <c r="T53" i="28"/>
  <c r="G44" i="33"/>
  <c r="G70" i="31"/>
  <c r="S54" i="28"/>
  <c r="F45" i="33"/>
  <c r="F71" i="31"/>
  <c r="T55" i="28"/>
  <c r="G46" i="33"/>
  <c r="G72" i="31"/>
  <c r="S56" i="28"/>
  <c r="F47" i="33"/>
  <c r="F73" i="31"/>
  <c r="V57" i="28"/>
  <c r="I48" i="33"/>
  <c r="I74" i="31"/>
  <c r="V59" i="28"/>
  <c r="I50" i="33"/>
  <c r="I76" i="31"/>
  <c r="V61" i="28"/>
  <c r="I52" i="33"/>
  <c r="I78" i="31"/>
  <c r="V63" i="28"/>
  <c r="I54" i="33"/>
  <c r="I80" i="31"/>
  <c r="V65" i="28"/>
  <c r="I56" i="33"/>
  <c r="I82" i="31"/>
  <c r="R21" i="27"/>
  <c r="E12" i="26"/>
  <c r="G84" i="31"/>
  <c r="S57" i="28"/>
  <c r="F48" i="33"/>
  <c r="F74" i="31"/>
  <c r="T58" i="28"/>
  <c r="G49" i="33"/>
  <c r="G75" i="31"/>
  <c r="S59" i="28"/>
  <c r="F50" i="33"/>
  <c r="F76" i="31"/>
  <c r="T60" i="28"/>
  <c r="G51" i="33"/>
  <c r="G77" i="31"/>
  <c r="S61" i="28"/>
  <c r="F52" i="33"/>
  <c r="F78" i="31"/>
  <c r="T62" i="28"/>
  <c r="G53" i="33"/>
  <c r="G79" i="31"/>
  <c r="S63" i="28"/>
  <c r="F54" i="33"/>
  <c r="F80" i="31"/>
  <c r="T64" i="28"/>
  <c r="G55" i="33"/>
  <c r="G81" i="31"/>
  <c r="S65" i="28"/>
  <c r="F56" i="33"/>
  <c r="F82" i="31"/>
  <c r="T66" i="28"/>
  <c r="G57" i="33"/>
  <c r="G83" i="31"/>
  <c r="Q21" i="27"/>
  <c r="D12" i="26"/>
  <c r="F84" i="31"/>
  <c r="R22" i="27"/>
  <c r="G85" i="31"/>
  <c r="G13" i="32"/>
  <c r="T22" i="6"/>
  <c r="G39" i="30"/>
  <c r="T26" i="6"/>
  <c r="G17" i="32"/>
  <c r="G43" i="30"/>
  <c r="T30" i="6"/>
  <c r="G21" i="32"/>
  <c r="G47" i="30"/>
  <c r="T34" i="6"/>
  <c r="G25" i="32"/>
  <c r="G51" i="30"/>
  <c r="T38" i="6"/>
  <c r="G29" i="32"/>
  <c r="G55" i="30"/>
  <c r="T42" i="6"/>
  <c r="G33" i="32"/>
  <c r="G59" i="30"/>
  <c r="T46" i="6"/>
  <c r="G37" i="32"/>
  <c r="G63" i="30"/>
  <c r="T50" i="6"/>
  <c r="G41" i="32"/>
  <c r="G67" i="30"/>
  <c r="T54" i="6"/>
  <c r="G45" i="32"/>
  <c r="G71" i="30"/>
  <c r="T58" i="6"/>
  <c r="G49" i="32"/>
  <c r="G75" i="30"/>
  <c r="T62" i="6"/>
  <c r="G53" i="32"/>
  <c r="G79" i="30"/>
  <c r="T66" i="6"/>
  <c r="G57" i="32"/>
  <c r="G83" i="30"/>
  <c r="H14" i="32"/>
  <c r="H40" i="30"/>
  <c r="U23" i="6"/>
  <c r="S21" i="25"/>
  <c r="F12" i="35"/>
  <c r="H84" i="30"/>
  <c r="V22" i="6"/>
  <c r="I13" i="32"/>
  <c r="I39" i="30"/>
  <c r="V24" i="6"/>
  <c r="I15" i="32"/>
  <c r="I41" i="30"/>
  <c r="H18" i="32"/>
  <c r="H44" i="30"/>
  <c r="U27" i="6"/>
  <c r="H22" i="32"/>
  <c r="H48" i="30"/>
  <c r="U31" i="6"/>
  <c r="H26" i="32"/>
  <c r="H52" i="30"/>
  <c r="U35" i="6"/>
  <c r="H30" i="32"/>
  <c r="H56" i="30"/>
  <c r="U39" i="6"/>
  <c r="H34" i="32"/>
  <c r="H60" i="30"/>
  <c r="U43" i="6"/>
  <c r="H38" i="32"/>
  <c r="H64" i="30"/>
  <c r="U47" i="6"/>
  <c r="H42" i="32"/>
  <c r="H68" i="30"/>
  <c r="U51" i="6"/>
  <c r="H46" i="32"/>
  <c r="H72" i="30"/>
  <c r="U55" i="6"/>
  <c r="H50" i="32"/>
  <c r="H76" i="30"/>
  <c r="U59" i="6"/>
  <c r="H54" i="32"/>
  <c r="H80" i="30"/>
  <c r="U63" i="6"/>
  <c r="E13" i="26"/>
  <c r="R22" i="25"/>
  <c r="E13" i="35"/>
  <c r="G85" i="30"/>
  <c r="N74" i="6"/>
  <c r="N73" i="6"/>
  <c r="N72" i="6"/>
  <c r="N71" i="6"/>
  <c r="N70" i="6"/>
  <c r="N69" i="6"/>
  <c r="N68" i="6"/>
  <c r="N67" i="6"/>
  <c r="V21" i="6"/>
  <c r="I12" i="32"/>
  <c r="I38" i="30"/>
  <c r="U22" i="6"/>
  <c r="H13" i="32"/>
  <c r="H39" i="30"/>
  <c r="V23" i="6"/>
  <c r="I14" i="32"/>
  <c r="I40" i="30"/>
  <c r="U24" i="6"/>
  <c r="H15" i="32"/>
  <c r="H41" i="30"/>
  <c r="V25" i="6"/>
  <c r="I16" i="32"/>
  <c r="I42" i="30"/>
  <c r="V26" i="6"/>
  <c r="I17" i="32"/>
  <c r="I43" i="30"/>
  <c r="V28" i="6"/>
  <c r="I19" i="32"/>
  <c r="I45" i="30"/>
  <c r="V30" i="6"/>
  <c r="I21" i="32"/>
  <c r="I47" i="30"/>
  <c r="V32" i="6"/>
  <c r="I23" i="32"/>
  <c r="I49" i="30"/>
  <c r="V34" i="6"/>
  <c r="I25" i="32"/>
  <c r="I51" i="30"/>
  <c r="V36" i="6"/>
  <c r="I27" i="32"/>
  <c r="I53" i="30"/>
  <c r="V38" i="6"/>
  <c r="I29" i="32"/>
  <c r="I55" i="30"/>
  <c r="V40" i="6"/>
  <c r="I31" i="32"/>
  <c r="I57" i="30"/>
  <c r="V42" i="6"/>
  <c r="I33" i="32"/>
  <c r="I59" i="30"/>
  <c r="V44" i="6"/>
  <c r="I35" i="32"/>
  <c r="I61" i="30"/>
  <c r="V46" i="6"/>
  <c r="I37" i="32"/>
  <c r="I63" i="30"/>
  <c r="V48" i="6"/>
  <c r="I39" i="32"/>
  <c r="I65" i="30"/>
  <c r="V50" i="6"/>
  <c r="I41" i="32"/>
  <c r="I67" i="30"/>
  <c r="V52" i="6"/>
  <c r="I43" i="32"/>
  <c r="I69" i="30"/>
  <c r="V54" i="6"/>
  <c r="I45" i="32"/>
  <c r="I71" i="30"/>
  <c r="V56" i="6"/>
  <c r="I47" i="32"/>
  <c r="I73" i="30"/>
  <c r="V58" i="6"/>
  <c r="I49" i="32"/>
  <c r="I75" i="30"/>
  <c r="V60" i="6"/>
  <c r="I51" i="32"/>
  <c r="I77" i="30"/>
  <c r="V62" i="6"/>
  <c r="I53" i="32"/>
  <c r="I79" i="30"/>
  <c r="V64" i="6"/>
  <c r="I55" i="32"/>
  <c r="I81" i="30"/>
  <c r="V66" i="6"/>
  <c r="I57" i="32"/>
  <c r="I83" i="30"/>
  <c r="T22" i="25"/>
  <c r="G13" i="26"/>
  <c r="G13" i="35"/>
  <c r="I85" i="30"/>
  <c r="T27" i="6"/>
  <c r="G18" i="32"/>
  <c r="G44" i="30"/>
  <c r="S28" i="6"/>
  <c r="F45" i="30"/>
  <c r="F19" i="32"/>
  <c r="T29" i="6"/>
  <c r="G20" i="32"/>
  <c r="G46" i="30"/>
  <c r="S30" i="6"/>
  <c r="F47" i="30"/>
  <c r="F21" i="32"/>
  <c r="T31" i="6"/>
  <c r="G22" i="32"/>
  <c r="G48" i="30"/>
  <c r="S32" i="6"/>
  <c r="F49" i="30"/>
  <c r="F23" i="32"/>
  <c r="T33" i="6"/>
  <c r="G24" i="32"/>
  <c r="G50" i="30"/>
  <c r="S34" i="6"/>
  <c r="F51" i="30"/>
  <c r="F25" i="32"/>
  <c r="T35" i="6"/>
  <c r="G26" i="32"/>
  <c r="G52" i="30"/>
  <c r="S36" i="6"/>
  <c r="F53" i="30"/>
  <c r="F27" i="32"/>
  <c r="T37" i="6"/>
  <c r="G28" i="32"/>
  <c r="G54" i="30"/>
  <c r="S38" i="6"/>
  <c r="F55" i="30"/>
  <c r="F29" i="32"/>
  <c r="T39" i="6"/>
  <c r="G30" i="32"/>
  <c r="G56" i="30"/>
  <c r="S40" i="6"/>
  <c r="F57" i="30"/>
  <c r="F31" i="32"/>
  <c r="T41" i="6"/>
  <c r="G32" i="32"/>
  <c r="G58" i="30"/>
  <c r="S42" i="6"/>
  <c r="F59" i="30"/>
  <c r="F33" i="32"/>
  <c r="T43" i="6"/>
  <c r="G34" i="32"/>
  <c r="G60" i="30"/>
  <c r="S44" i="6"/>
  <c r="F61" i="30"/>
  <c r="F35" i="32"/>
  <c r="T45" i="6"/>
  <c r="G36" i="32"/>
  <c r="G62" i="30"/>
  <c r="S46" i="6"/>
  <c r="F63" i="30"/>
  <c r="F37" i="32"/>
  <c r="T47" i="6"/>
  <c r="G38" i="32"/>
  <c r="G64" i="30"/>
  <c r="S48" i="6"/>
  <c r="F65" i="30"/>
  <c r="F39" i="32"/>
  <c r="T49" i="6"/>
  <c r="G40" i="32"/>
  <c r="G66" i="30"/>
  <c r="S50" i="6"/>
  <c r="F67" i="30"/>
  <c r="F41" i="32"/>
  <c r="T51" i="6"/>
  <c r="G42" i="32"/>
  <c r="G68" i="30"/>
  <c r="S52" i="6"/>
  <c r="F69" i="30"/>
  <c r="F43" i="32"/>
  <c r="T53" i="6"/>
  <c r="G44" i="32"/>
  <c r="G70" i="30"/>
  <c r="S54" i="6"/>
  <c r="F71" i="30"/>
  <c r="F45" i="32"/>
  <c r="T55" i="6"/>
  <c r="G46" i="32"/>
  <c r="G72" i="30"/>
  <c r="S56" i="6"/>
  <c r="F73" i="30"/>
  <c r="F47" i="32"/>
  <c r="T57" i="6"/>
  <c r="G48" i="32"/>
  <c r="G74" i="30"/>
  <c r="S58" i="6"/>
  <c r="F75" i="30"/>
  <c r="F49" i="32"/>
  <c r="T59" i="6"/>
  <c r="G50" i="32"/>
  <c r="G76" i="30"/>
  <c r="S60" i="6"/>
  <c r="F77" i="30"/>
  <c r="F51" i="32"/>
  <c r="T61" i="6"/>
  <c r="G52" i="32"/>
  <c r="G78" i="30"/>
  <c r="S62" i="6"/>
  <c r="F79" i="30"/>
  <c r="F53" i="32"/>
  <c r="T63" i="6"/>
  <c r="G54" i="32"/>
  <c r="G80" i="30"/>
  <c r="S64" i="6"/>
  <c r="F81" i="30"/>
  <c r="F55" i="32"/>
  <c r="T65" i="6"/>
  <c r="G56" i="32"/>
  <c r="G82" i="30"/>
  <c r="S66" i="6"/>
  <c r="F83" i="30"/>
  <c r="F57" i="32"/>
  <c r="R21" i="25"/>
  <c r="E12" i="35"/>
  <c r="G84" i="30"/>
  <c r="Q22" i="25"/>
  <c r="D13" i="35"/>
  <c r="D13" i="26"/>
  <c r="F85" i="30"/>
  <c r="T24" i="28"/>
  <c r="G15" i="33"/>
  <c r="G41" i="31"/>
  <c r="H14" i="33"/>
  <c r="H40" i="31"/>
  <c r="U23" i="28"/>
  <c r="V22" i="28"/>
  <c r="I13" i="33"/>
  <c r="I39" i="31"/>
  <c r="U25" i="28"/>
  <c r="H16" i="33"/>
  <c r="H42" i="31"/>
  <c r="U27" i="28"/>
  <c r="H18" i="33"/>
  <c r="H44" i="31"/>
  <c r="U29" i="28"/>
  <c r="H20" i="33"/>
  <c r="H46" i="31"/>
  <c r="U31" i="28"/>
  <c r="H22" i="33"/>
  <c r="H48" i="31"/>
  <c r="U33" i="28"/>
  <c r="H24" i="33"/>
  <c r="H50" i="31"/>
  <c r="U35" i="28"/>
  <c r="H26" i="33"/>
  <c r="H52" i="31"/>
  <c r="U37" i="28"/>
  <c r="H28" i="33"/>
  <c r="H54" i="31"/>
  <c r="U39" i="28"/>
  <c r="H30" i="33"/>
  <c r="H56" i="31"/>
  <c r="U41" i="28"/>
  <c r="H32" i="33"/>
  <c r="H58" i="31"/>
  <c r="U43" i="28"/>
  <c r="H34" i="33"/>
  <c r="H60" i="31"/>
  <c r="U45" i="28"/>
  <c r="H36" i="33"/>
  <c r="H62" i="31"/>
  <c r="U47" i="28"/>
  <c r="H38" i="33"/>
  <c r="H64" i="31"/>
  <c r="U49" i="28"/>
  <c r="H40" i="33"/>
  <c r="H66" i="31"/>
  <c r="U51" i="28"/>
  <c r="H42" i="33"/>
  <c r="H68" i="31"/>
  <c r="U53" i="28"/>
  <c r="H44" i="33"/>
  <c r="H70" i="31"/>
  <c r="U55" i="28"/>
  <c r="H46" i="33"/>
  <c r="H72" i="31"/>
  <c r="T57" i="28"/>
  <c r="G48" i="33"/>
  <c r="G74" i="31"/>
  <c r="T61" i="28"/>
  <c r="G52" i="33"/>
  <c r="G78" i="31"/>
  <c r="T65" i="28"/>
  <c r="G56" i="33"/>
  <c r="G82" i="31"/>
  <c r="L74" i="28"/>
  <c r="L73" i="28"/>
  <c r="L72" i="28"/>
  <c r="L71" i="28"/>
  <c r="L70" i="28"/>
  <c r="L69" i="28"/>
  <c r="G58" i="33" s="1"/>
  <c r="L68" i="28"/>
  <c r="G60" i="33" s="1"/>
  <c r="L67" i="28"/>
  <c r="G59" i="33" s="1"/>
  <c r="T21" i="28"/>
  <c r="G12" i="33"/>
  <c r="G38" i="31"/>
  <c r="S22" i="28"/>
  <c r="F39" i="31"/>
  <c r="F13" i="33"/>
  <c r="T23" i="28"/>
  <c r="G14" i="33"/>
  <c r="G40" i="31"/>
  <c r="S24" i="28"/>
  <c r="F41" i="31"/>
  <c r="F15" i="33"/>
  <c r="S25" i="28"/>
  <c r="F16" i="33"/>
  <c r="F42" i="31"/>
  <c r="S27" i="28"/>
  <c r="F18" i="33"/>
  <c r="F44" i="31"/>
  <c r="S29" i="28"/>
  <c r="F20" i="33"/>
  <c r="F46" i="31"/>
  <c r="S31" i="28"/>
  <c r="F22" i="33"/>
  <c r="F48" i="31"/>
  <c r="S33" i="28"/>
  <c r="F24" i="33"/>
  <c r="F50" i="31"/>
  <c r="S35" i="28"/>
  <c r="F26" i="33"/>
  <c r="F52" i="31"/>
  <c r="S37" i="28"/>
  <c r="F28" i="33"/>
  <c r="F54" i="31"/>
  <c r="S39" i="28"/>
  <c r="F30" i="33"/>
  <c r="F56" i="31"/>
  <c r="S41" i="28"/>
  <c r="F32" i="33"/>
  <c r="F58" i="31"/>
  <c r="S43" i="28"/>
  <c r="F34" i="33"/>
  <c r="F60" i="31"/>
  <c r="S45" i="28"/>
  <c r="F36" i="33"/>
  <c r="F62" i="31"/>
  <c r="S47" i="28"/>
  <c r="F38" i="33"/>
  <c r="F64" i="31"/>
  <c r="S49" i="28"/>
  <c r="F40" i="33"/>
  <c r="F66" i="31"/>
  <c r="S51" i="28"/>
  <c r="F42" i="33"/>
  <c r="F68" i="31"/>
  <c r="S53" i="28"/>
  <c r="F44" i="33"/>
  <c r="F70" i="31"/>
  <c r="S55" i="28"/>
  <c r="F46" i="33"/>
  <c r="F72" i="31"/>
  <c r="U58" i="28"/>
  <c r="H49" i="33"/>
  <c r="H75" i="31"/>
  <c r="U62" i="28"/>
  <c r="H53" i="33"/>
  <c r="H79" i="31"/>
  <c r="U66" i="28"/>
  <c r="H57" i="33"/>
  <c r="H83" i="31"/>
  <c r="U24" i="28"/>
  <c r="H15" i="33"/>
  <c r="H41" i="31"/>
  <c r="V25" i="28"/>
  <c r="I16" i="33"/>
  <c r="I42" i="31"/>
  <c r="U26" i="28"/>
  <c r="H17" i="33"/>
  <c r="H43" i="31"/>
  <c r="V27" i="28"/>
  <c r="I18" i="33"/>
  <c r="I44" i="31"/>
  <c r="U28" i="28"/>
  <c r="H19" i="33"/>
  <c r="H45" i="31"/>
  <c r="V29" i="28"/>
  <c r="I20" i="33"/>
  <c r="I46" i="31"/>
  <c r="U30" i="28"/>
  <c r="H21" i="33"/>
  <c r="H47" i="31"/>
  <c r="V31" i="28"/>
  <c r="I22" i="33"/>
  <c r="I48" i="31"/>
  <c r="U32" i="28"/>
  <c r="H23" i="33"/>
  <c r="H49" i="31"/>
  <c r="V33" i="28"/>
  <c r="I24" i="33"/>
  <c r="I50" i="31"/>
  <c r="U34" i="28"/>
  <c r="H25" i="33"/>
  <c r="H51" i="31"/>
  <c r="V35" i="28"/>
  <c r="I26" i="33"/>
  <c r="I52" i="31"/>
  <c r="U36" i="28"/>
  <c r="H27" i="33"/>
  <c r="H53" i="31"/>
  <c r="V37" i="28"/>
  <c r="I28" i="33"/>
  <c r="I54" i="31"/>
  <c r="U38" i="28"/>
  <c r="H29" i="33"/>
  <c r="H55" i="31"/>
  <c r="V39" i="28"/>
  <c r="I30" i="33"/>
  <c r="I56" i="31"/>
  <c r="U40" i="28"/>
  <c r="H31" i="33"/>
  <c r="H57" i="31"/>
  <c r="V41" i="28"/>
  <c r="I32" i="33"/>
  <c r="I58" i="31"/>
  <c r="U42" i="28"/>
  <c r="H33" i="33"/>
  <c r="H59" i="31"/>
  <c r="V43" i="28"/>
  <c r="I34" i="33"/>
  <c r="I60" i="31"/>
  <c r="U44" i="28"/>
  <c r="H35" i="33"/>
  <c r="H61" i="31"/>
  <c r="V45" i="28"/>
  <c r="I36" i="33"/>
  <c r="I62" i="31"/>
  <c r="U46" i="28"/>
  <c r="H37" i="33"/>
  <c r="H63" i="31"/>
  <c r="V47" i="28"/>
  <c r="I38" i="33"/>
  <c r="I64" i="31"/>
  <c r="U48" i="28"/>
  <c r="H39" i="33"/>
  <c r="H65" i="31"/>
  <c r="V49" i="28"/>
  <c r="I40" i="33"/>
  <c r="I66" i="31"/>
  <c r="U50" i="28"/>
  <c r="H41" i="33"/>
  <c r="H67" i="31"/>
  <c r="V51" i="28"/>
  <c r="I42" i="33"/>
  <c r="I68" i="31"/>
  <c r="U52" i="28"/>
  <c r="H43" i="33"/>
  <c r="H69" i="31"/>
  <c r="V53" i="28"/>
  <c r="I44" i="33"/>
  <c r="I70" i="31"/>
  <c r="U54" i="28"/>
  <c r="H45" i="33"/>
  <c r="H71" i="31"/>
  <c r="V55" i="28"/>
  <c r="I46" i="33"/>
  <c r="I72" i="31"/>
  <c r="U56" i="28"/>
  <c r="H47" i="33"/>
  <c r="H73" i="31"/>
  <c r="S58" i="28"/>
  <c r="F49" i="33"/>
  <c r="F75" i="31"/>
  <c r="S60" i="28"/>
  <c r="F51" i="33"/>
  <c r="F77" i="31"/>
  <c r="S62" i="28"/>
  <c r="F53" i="33"/>
  <c r="F79" i="31"/>
  <c r="S64" i="28"/>
  <c r="F55" i="33"/>
  <c r="F81" i="31"/>
  <c r="S66" i="28"/>
  <c r="F57" i="33"/>
  <c r="F83" i="31"/>
  <c r="S22" i="27"/>
  <c r="H85" i="31"/>
  <c r="U57" i="28"/>
  <c r="H48" i="33"/>
  <c r="H74" i="31"/>
  <c r="V58" i="28"/>
  <c r="I49" i="33"/>
  <c r="I75" i="31"/>
  <c r="U59" i="28"/>
  <c r="H50" i="33"/>
  <c r="H76" i="31"/>
  <c r="V60" i="28"/>
  <c r="I51" i="33"/>
  <c r="I77" i="31"/>
  <c r="U61" i="28"/>
  <c r="H52" i="33"/>
  <c r="H78" i="31"/>
  <c r="V62" i="28"/>
  <c r="I53" i="33"/>
  <c r="I79" i="31"/>
  <c r="U63" i="28"/>
  <c r="H54" i="33"/>
  <c r="H80" i="31"/>
  <c r="V64" i="28"/>
  <c r="I55" i="33"/>
  <c r="I81" i="31"/>
  <c r="U65" i="28"/>
  <c r="H56" i="33"/>
  <c r="H82" i="31"/>
  <c r="V66" i="28"/>
  <c r="I57" i="33"/>
  <c r="I83" i="31"/>
  <c r="S21" i="27"/>
  <c r="F12" i="26"/>
  <c r="H84" i="31"/>
  <c r="T22" i="27"/>
  <c r="I85" i="31"/>
  <c r="G15" i="32"/>
  <c r="T24" i="6"/>
  <c r="G41" i="30"/>
  <c r="T28" i="6"/>
  <c r="G19" i="32"/>
  <c r="G45" i="30"/>
  <c r="T32" i="6"/>
  <c r="G23" i="32"/>
  <c r="G49" i="30"/>
  <c r="T36" i="6"/>
  <c r="G27" i="32"/>
  <c r="G53" i="30"/>
  <c r="T40" i="6"/>
  <c r="G31" i="32"/>
  <c r="G57" i="30"/>
  <c r="T44" i="6"/>
  <c r="G35" i="32"/>
  <c r="G61" i="30"/>
  <c r="T48" i="6"/>
  <c r="G39" i="32"/>
  <c r="G65" i="30"/>
  <c r="T52" i="6"/>
  <c r="G43" i="32"/>
  <c r="G69" i="30"/>
  <c r="T56" i="6"/>
  <c r="G47" i="32"/>
  <c r="G73" i="30"/>
  <c r="T60" i="6"/>
  <c r="G51" i="32"/>
  <c r="G77" i="30"/>
  <c r="T64" i="6"/>
  <c r="G55" i="32"/>
  <c r="G81" i="30"/>
  <c r="M74" i="6"/>
  <c r="M73" i="6"/>
  <c r="M72" i="6"/>
  <c r="M71" i="6"/>
  <c r="M70" i="6"/>
  <c r="M69" i="6"/>
  <c r="M68" i="6"/>
  <c r="M67" i="6"/>
  <c r="H12" i="32"/>
  <c r="H38" i="30"/>
  <c r="U21" i="6"/>
  <c r="H16" i="32"/>
  <c r="H42" i="30"/>
  <c r="U25" i="6"/>
  <c r="K74" i="6"/>
  <c r="K73" i="6"/>
  <c r="K72" i="6"/>
  <c r="K71" i="6"/>
  <c r="K70" i="6"/>
  <c r="K69" i="6"/>
  <c r="K68" i="6"/>
  <c r="K67" i="6"/>
  <c r="S21" i="6"/>
  <c r="F12" i="32"/>
  <c r="F38" i="30"/>
  <c r="S23" i="6"/>
  <c r="F14" i="32"/>
  <c r="F40" i="30"/>
  <c r="S25" i="6"/>
  <c r="F16" i="32"/>
  <c r="F42" i="30"/>
  <c r="H20" i="32"/>
  <c r="H46" i="30"/>
  <c r="U29" i="6"/>
  <c r="H24" i="32"/>
  <c r="H50" i="30"/>
  <c r="U33" i="6"/>
  <c r="H28" i="32"/>
  <c r="H54" i="30"/>
  <c r="U37" i="6"/>
  <c r="H32" i="32"/>
  <c r="H58" i="30"/>
  <c r="U41" i="6"/>
  <c r="H36" i="32"/>
  <c r="H62" i="30"/>
  <c r="U45" i="6"/>
  <c r="H40" i="32"/>
  <c r="H66" i="30"/>
  <c r="U49" i="6"/>
  <c r="H44" i="32"/>
  <c r="H70" i="30"/>
  <c r="U53" i="6"/>
  <c r="H48" i="32"/>
  <c r="H74" i="30"/>
  <c r="U57" i="6"/>
  <c r="H52" i="32"/>
  <c r="H78" i="30"/>
  <c r="U61" i="6"/>
  <c r="H56" i="32"/>
  <c r="H82" i="30"/>
  <c r="U65" i="6"/>
  <c r="T21" i="6"/>
  <c r="L73" i="6"/>
  <c r="L71" i="6"/>
  <c r="L69" i="6"/>
  <c r="L67" i="6"/>
  <c r="G12" i="32"/>
  <c r="L74" i="6"/>
  <c r="L72" i="6"/>
  <c r="L70" i="6"/>
  <c r="L68" i="6"/>
  <c r="G38" i="30"/>
  <c r="S22" i="6"/>
  <c r="F39" i="30"/>
  <c r="F13" i="32"/>
  <c r="T23" i="6"/>
  <c r="G14" i="32"/>
  <c r="G40" i="30"/>
  <c r="S24" i="6"/>
  <c r="F41" i="30"/>
  <c r="F15" i="32"/>
  <c r="T25" i="6"/>
  <c r="G16" i="32"/>
  <c r="G42" i="30"/>
  <c r="S26" i="6"/>
  <c r="F43" i="30"/>
  <c r="F17" i="32"/>
  <c r="S27" i="6"/>
  <c r="F18" i="32"/>
  <c r="F44" i="30"/>
  <c r="S29" i="6"/>
  <c r="F20" i="32"/>
  <c r="F46" i="30"/>
  <c r="S31" i="6"/>
  <c r="F22" i="32"/>
  <c r="F48" i="30"/>
  <c r="S33" i="6"/>
  <c r="F24" i="32"/>
  <c r="F50" i="30"/>
  <c r="S35" i="6"/>
  <c r="F26" i="32"/>
  <c r="F52" i="30"/>
  <c r="S37" i="6"/>
  <c r="F28" i="32"/>
  <c r="F54" i="30"/>
  <c r="S39" i="6"/>
  <c r="F30" i="32"/>
  <c r="F56" i="30"/>
  <c r="S41" i="6"/>
  <c r="F32" i="32"/>
  <c r="F58" i="30"/>
  <c r="S43" i="6"/>
  <c r="F34" i="32"/>
  <c r="F60" i="30"/>
  <c r="S45" i="6"/>
  <c r="F36" i="32"/>
  <c r="F62" i="30"/>
  <c r="S47" i="6"/>
  <c r="F38" i="32"/>
  <c r="F64" i="30"/>
  <c r="S49" i="6"/>
  <c r="F40" i="32"/>
  <c r="F66" i="30"/>
  <c r="S51" i="6"/>
  <c r="F42" i="32"/>
  <c r="F68" i="30"/>
  <c r="S53" i="6"/>
  <c r="F44" i="32"/>
  <c r="F70" i="30"/>
  <c r="S55" i="6"/>
  <c r="F46" i="32"/>
  <c r="F72" i="30"/>
  <c r="S57" i="6"/>
  <c r="F48" i="32"/>
  <c r="F74" i="30"/>
  <c r="S59" i="6"/>
  <c r="F50" i="32"/>
  <c r="F76" i="30"/>
  <c r="S61" i="6"/>
  <c r="F52" i="32"/>
  <c r="F78" i="30"/>
  <c r="S63" i="6"/>
  <c r="F54" i="32"/>
  <c r="F80" i="30"/>
  <c r="S65" i="6"/>
  <c r="F56" i="32"/>
  <c r="F82" i="30"/>
  <c r="Q21" i="25"/>
  <c r="F84" i="30"/>
  <c r="D12" i="35"/>
  <c r="U26" i="6"/>
  <c r="H17" i="32"/>
  <c r="H43" i="30"/>
  <c r="V27" i="6"/>
  <c r="I18" i="32"/>
  <c r="I44" i="30"/>
  <c r="U28" i="6"/>
  <c r="H19" i="32"/>
  <c r="H45" i="30"/>
  <c r="V29" i="6"/>
  <c r="I20" i="32"/>
  <c r="I46" i="30"/>
  <c r="U30" i="6"/>
  <c r="H21" i="32"/>
  <c r="H47" i="30"/>
  <c r="V31" i="6"/>
  <c r="I22" i="32"/>
  <c r="I48" i="30"/>
  <c r="U32" i="6"/>
  <c r="H23" i="32"/>
  <c r="H49" i="30"/>
  <c r="V33" i="6"/>
  <c r="I24" i="32"/>
  <c r="I50" i="30"/>
  <c r="U34" i="6"/>
  <c r="H25" i="32"/>
  <c r="H51" i="30"/>
  <c r="V35" i="6"/>
  <c r="I26" i="32"/>
  <c r="I52" i="30"/>
  <c r="U36" i="6"/>
  <c r="H27" i="32"/>
  <c r="H53" i="30"/>
  <c r="V37" i="6"/>
  <c r="I28" i="32"/>
  <c r="I54" i="30"/>
  <c r="U38" i="6"/>
  <c r="H29" i="32"/>
  <c r="H55" i="30"/>
  <c r="V39" i="6"/>
  <c r="I30" i="32"/>
  <c r="I56" i="30"/>
  <c r="U40" i="6"/>
  <c r="H31" i="32"/>
  <c r="H57" i="30"/>
  <c r="V41" i="6"/>
  <c r="I32" i="32"/>
  <c r="I58" i="30"/>
  <c r="U42" i="6"/>
  <c r="H33" i="32"/>
  <c r="H59" i="30"/>
  <c r="V43" i="6"/>
  <c r="I34" i="32"/>
  <c r="I60" i="30"/>
  <c r="U44" i="6"/>
  <c r="H35" i="32"/>
  <c r="H61" i="30"/>
  <c r="V45" i="6"/>
  <c r="I36" i="32"/>
  <c r="I62" i="30"/>
  <c r="U46" i="6"/>
  <c r="H37" i="32"/>
  <c r="H63" i="30"/>
  <c r="V47" i="6"/>
  <c r="I38" i="32"/>
  <c r="I64" i="30"/>
  <c r="U48" i="6"/>
  <c r="H39" i="32"/>
  <c r="H65" i="30"/>
  <c r="V49" i="6"/>
  <c r="I40" i="32"/>
  <c r="I66" i="30"/>
  <c r="U50" i="6"/>
  <c r="H41" i="32"/>
  <c r="H67" i="30"/>
  <c r="V51" i="6"/>
  <c r="I42" i="32"/>
  <c r="I68" i="30"/>
  <c r="U52" i="6"/>
  <c r="H43" i="32"/>
  <c r="H69" i="30"/>
  <c r="V53" i="6"/>
  <c r="I44" i="32"/>
  <c r="I70" i="30"/>
  <c r="U54" i="6"/>
  <c r="H45" i="32"/>
  <c r="H71" i="30"/>
  <c r="V55" i="6"/>
  <c r="I46" i="32"/>
  <c r="I72" i="30"/>
  <c r="U56" i="6"/>
  <c r="H47" i="32"/>
  <c r="H73" i="30"/>
  <c r="V57" i="6"/>
  <c r="I48" i="32"/>
  <c r="I74" i="30"/>
  <c r="U58" i="6"/>
  <c r="H49" i="32"/>
  <c r="H75" i="30"/>
  <c r="V59" i="6"/>
  <c r="I50" i="32"/>
  <c r="I76" i="30"/>
  <c r="U60" i="6"/>
  <c r="H51" i="32"/>
  <c r="H77" i="30"/>
  <c r="V61" i="6"/>
  <c r="I52" i="32"/>
  <c r="I78" i="30"/>
  <c r="U62" i="6"/>
  <c r="H53" i="32"/>
  <c r="H79" i="30"/>
  <c r="V63" i="6"/>
  <c r="I54" i="32"/>
  <c r="I80" i="30"/>
  <c r="U64" i="6"/>
  <c r="H55" i="32"/>
  <c r="H81" i="30"/>
  <c r="V65" i="6"/>
  <c r="I56" i="32"/>
  <c r="I82" i="30"/>
  <c r="U66" i="6"/>
  <c r="H57" i="32"/>
  <c r="H83" i="30"/>
  <c r="T21" i="25"/>
  <c r="G12" i="35"/>
  <c r="I84" i="30"/>
  <c r="S22" i="25"/>
  <c r="F13" i="26"/>
  <c r="F13" i="35"/>
  <c r="H85" i="30"/>
  <c r="K12" i="35" l="1"/>
  <c r="G7" i="36"/>
  <c r="G12" i="34" s="1"/>
  <c r="I93" i="20" s="1"/>
  <c r="I136" i="30"/>
  <c r="I51" i="37"/>
  <c r="I56" i="4" s="1"/>
  <c r="I91" i="20" s="1"/>
  <c r="M56" i="32"/>
  <c r="I134" i="30"/>
  <c r="I49" i="37"/>
  <c r="I54" i="4" s="1"/>
  <c r="I89" i="20" s="1"/>
  <c r="M54" i="32"/>
  <c r="I132" i="30"/>
  <c r="I47" i="37"/>
  <c r="I52" i="4" s="1"/>
  <c r="I87" i="20" s="1"/>
  <c r="M52" i="32"/>
  <c r="I130" i="30"/>
  <c r="I45" i="37"/>
  <c r="I50" i="4" s="1"/>
  <c r="I85" i="20" s="1"/>
  <c r="M50" i="32"/>
  <c r="I128" i="30"/>
  <c r="I43" i="37"/>
  <c r="I48" i="4" s="1"/>
  <c r="I83" i="20" s="1"/>
  <c r="M48" i="32"/>
  <c r="I126" i="30"/>
  <c r="I41" i="37"/>
  <c r="I46" i="4" s="1"/>
  <c r="I81" i="20" s="1"/>
  <c r="M46" i="32"/>
  <c r="I124" i="30"/>
  <c r="I39" i="37"/>
  <c r="I44" i="4" s="1"/>
  <c r="I79" i="20" s="1"/>
  <c r="M44" i="32"/>
  <c r="I122" i="30"/>
  <c r="I37" i="37"/>
  <c r="I42" i="4" s="1"/>
  <c r="I77" i="20" s="1"/>
  <c r="M42" i="32"/>
  <c r="I120" i="30"/>
  <c r="I35" i="37"/>
  <c r="I40" i="4" s="1"/>
  <c r="I75" i="20" s="1"/>
  <c r="M40" i="32"/>
  <c r="I118" i="30"/>
  <c r="I33" i="37"/>
  <c r="I38" i="4" s="1"/>
  <c r="I73" i="20" s="1"/>
  <c r="M38" i="32"/>
  <c r="I116" i="30"/>
  <c r="I31" i="37"/>
  <c r="I36" i="4" s="1"/>
  <c r="I71" i="20" s="1"/>
  <c r="M36" i="32"/>
  <c r="I114" i="30"/>
  <c r="I29" i="37"/>
  <c r="I34" i="4" s="1"/>
  <c r="I69" i="20" s="1"/>
  <c r="M34" i="32"/>
  <c r="I112" i="30"/>
  <c r="I27" i="37"/>
  <c r="I32" i="4" s="1"/>
  <c r="I67" i="20" s="1"/>
  <c r="M32" i="32"/>
  <c r="I110" i="30"/>
  <c r="I25" i="37"/>
  <c r="I30" i="4" s="1"/>
  <c r="I65" i="20" s="1"/>
  <c r="M30" i="32"/>
  <c r="I108" i="30"/>
  <c r="I23" i="37"/>
  <c r="I28" i="4" s="1"/>
  <c r="I63" i="20" s="1"/>
  <c r="M28" i="32"/>
  <c r="I106" i="30"/>
  <c r="I21" i="37"/>
  <c r="I26" i="4" s="1"/>
  <c r="I61" i="20" s="1"/>
  <c r="M26" i="32"/>
  <c r="I104" i="30"/>
  <c r="I19" i="37"/>
  <c r="I24" i="4" s="1"/>
  <c r="I59" i="20" s="1"/>
  <c r="M24" i="32"/>
  <c r="I102" i="30"/>
  <c r="I17" i="37"/>
  <c r="I22" i="4" s="1"/>
  <c r="I57" i="20" s="1"/>
  <c r="M22" i="32"/>
  <c r="I100" i="30"/>
  <c r="I15" i="37"/>
  <c r="I20" i="4" s="1"/>
  <c r="I55" i="20" s="1"/>
  <c r="M20" i="32"/>
  <c r="I98" i="30"/>
  <c r="I13" i="37"/>
  <c r="I18" i="4" s="1"/>
  <c r="I53" i="20" s="1"/>
  <c r="M18" i="32"/>
  <c r="I96" i="30"/>
  <c r="D7" i="36"/>
  <c r="D12" i="34" s="1"/>
  <c r="F93" i="20" s="1"/>
  <c r="F136" i="30"/>
  <c r="H12" i="35"/>
  <c r="J54" i="32"/>
  <c r="F49" i="37"/>
  <c r="F54" i="4" s="1"/>
  <c r="F89" i="20" s="1"/>
  <c r="F132" i="30"/>
  <c r="J50" i="32"/>
  <c r="F45" i="37"/>
  <c r="F50" i="4" s="1"/>
  <c r="F85" i="20" s="1"/>
  <c r="F128" i="30"/>
  <c r="J46" i="32"/>
  <c r="F41" i="37"/>
  <c r="F46" i="4" s="1"/>
  <c r="F81" i="20" s="1"/>
  <c r="F124" i="30"/>
  <c r="J42" i="32"/>
  <c r="F37" i="37"/>
  <c r="F42" i="4" s="1"/>
  <c r="F77" i="20" s="1"/>
  <c r="F120" i="30"/>
  <c r="J38" i="32"/>
  <c r="F33" i="37"/>
  <c r="F38" i="4" s="1"/>
  <c r="F73" i="20" s="1"/>
  <c r="F116" i="30"/>
  <c r="J34" i="32"/>
  <c r="F29" i="37"/>
  <c r="F34" i="4" s="1"/>
  <c r="F69" i="20" s="1"/>
  <c r="F112" i="30"/>
  <c r="J30" i="32"/>
  <c r="F25" i="37"/>
  <c r="F30" i="4" s="1"/>
  <c r="F65" i="20" s="1"/>
  <c r="F108" i="30"/>
  <c r="J26" i="32"/>
  <c r="F21" i="37"/>
  <c r="F26" i="4" s="1"/>
  <c r="F61" i="20" s="1"/>
  <c r="F104" i="30"/>
  <c r="J22" i="32"/>
  <c r="F17" i="37"/>
  <c r="F22" i="4" s="1"/>
  <c r="F57" i="20" s="1"/>
  <c r="F100" i="30"/>
  <c r="J18" i="32"/>
  <c r="F13" i="37"/>
  <c r="F18" i="4" s="1"/>
  <c r="F53" i="20" s="1"/>
  <c r="F96" i="30"/>
  <c r="G11" i="37"/>
  <c r="G16" i="4" s="1"/>
  <c r="G51" i="20" s="1"/>
  <c r="K16" i="32"/>
  <c r="G94" i="30"/>
  <c r="G9" i="37"/>
  <c r="G14" i="4" s="1"/>
  <c r="G49" i="20" s="1"/>
  <c r="K14" i="32"/>
  <c r="G92" i="30"/>
  <c r="G30" i="31"/>
  <c r="G59" i="32"/>
  <c r="G30" i="30" s="1"/>
  <c r="G7" i="37"/>
  <c r="T74" i="6"/>
  <c r="T73" i="6"/>
  <c r="T72" i="6"/>
  <c r="T71" i="6"/>
  <c r="T70" i="6"/>
  <c r="T69" i="6"/>
  <c r="T68" i="6"/>
  <c r="T67" i="6"/>
  <c r="K12" i="32"/>
  <c r="G90" i="30"/>
  <c r="H47" i="37"/>
  <c r="H52" i="4" s="1"/>
  <c r="H87" i="20" s="1"/>
  <c r="L52" i="32"/>
  <c r="H130" i="30"/>
  <c r="H39" i="37"/>
  <c r="H44" i="4" s="1"/>
  <c r="H79" i="20" s="1"/>
  <c r="L44" i="32"/>
  <c r="H122" i="30"/>
  <c r="H31" i="37"/>
  <c r="H36" i="4" s="1"/>
  <c r="H71" i="20" s="1"/>
  <c r="L36" i="32"/>
  <c r="H114" i="30"/>
  <c r="H23" i="37"/>
  <c r="H28" i="4" s="1"/>
  <c r="H63" i="20" s="1"/>
  <c r="L28" i="32"/>
  <c r="H106" i="30"/>
  <c r="H15" i="37"/>
  <c r="H20" i="4" s="1"/>
  <c r="H55" i="20" s="1"/>
  <c r="L20" i="32"/>
  <c r="H98" i="30"/>
  <c r="J14" i="32"/>
  <c r="F9" i="37"/>
  <c r="F14" i="4" s="1"/>
  <c r="F49" i="20" s="1"/>
  <c r="F92" i="30"/>
  <c r="F30" i="31"/>
  <c r="F59" i="32"/>
  <c r="F30" i="30" s="1"/>
  <c r="F29" i="31"/>
  <c r="F58" i="32"/>
  <c r="F29" i="30" s="1"/>
  <c r="H11" i="37"/>
  <c r="H16" i="4" s="1"/>
  <c r="H51" i="20" s="1"/>
  <c r="L16" i="32"/>
  <c r="H94" i="30"/>
  <c r="H30" i="31"/>
  <c r="H59" i="32"/>
  <c r="H30" i="30" s="1"/>
  <c r="H29" i="31"/>
  <c r="H58" i="32"/>
  <c r="H29" i="30" s="1"/>
  <c r="G50" i="37"/>
  <c r="G55" i="4" s="1"/>
  <c r="G90" i="20" s="1"/>
  <c r="K55" i="32"/>
  <c r="G133" i="30"/>
  <c r="G42" i="37"/>
  <c r="G47" i="4" s="1"/>
  <c r="G82" i="20" s="1"/>
  <c r="K47" i="32"/>
  <c r="G125" i="30"/>
  <c r="G34" i="37"/>
  <c r="G39" i="4" s="1"/>
  <c r="G74" i="20" s="1"/>
  <c r="K39" i="32"/>
  <c r="G117" i="30"/>
  <c r="G26" i="37"/>
  <c r="G31" i="4" s="1"/>
  <c r="G66" i="20" s="1"/>
  <c r="K31" i="32"/>
  <c r="G109" i="30"/>
  <c r="G18" i="37"/>
  <c r="G23" i="4" s="1"/>
  <c r="G58" i="20" s="1"/>
  <c r="K23" i="32"/>
  <c r="G101" i="30"/>
  <c r="K13" i="26"/>
  <c r="I137" i="31"/>
  <c r="I135" i="31"/>
  <c r="M57" i="33"/>
  <c r="I133" i="31"/>
  <c r="M55" i="33"/>
  <c r="I131" i="31"/>
  <c r="M53" i="33"/>
  <c r="I129" i="31"/>
  <c r="M51" i="33"/>
  <c r="I127" i="31"/>
  <c r="M49" i="33"/>
  <c r="J57" i="33"/>
  <c r="F135" i="31"/>
  <c r="J53" i="33"/>
  <c r="F131" i="31"/>
  <c r="J49" i="33"/>
  <c r="F127" i="31"/>
  <c r="M46" i="33"/>
  <c r="I124" i="31"/>
  <c r="M44" i="33"/>
  <c r="I122" i="31"/>
  <c r="M42" i="33"/>
  <c r="I120" i="31"/>
  <c r="M40" i="33"/>
  <c r="I118" i="31"/>
  <c r="I116" i="31"/>
  <c r="M38" i="33"/>
  <c r="I114" i="31"/>
  <c r="M36" i="33"/>
  <c r="I112" i="31"/>
  <c r="M34" i="33"/>
  <c r="I110" i="31"/>
  <c r="M32" i="33"/>
  <c r="I108" i="31"/>
  <c r="M30" i="33"/>
  <c r="I106" i="31"/>
  <c r="M28" i="33"/>
  <c r="I104" i="31"/>
  <c r="M26" i="33"/>
  <c r="I102" i="31"/>
  <c r="M24" i="33"/>
  <c r="I100" i="31"/>
  <c r="M22" i="33"/>
  <c r="I98" i="31"/>
  <c r="M20" i="33"/>
  <c r="I96" i="31"/>
  <c r="M18" i="33"/>
  <c r="I94" i="31"/>
  <c r="M16" i="33"/>
  <c r="L57" i="33"/>
  <c r="H135" i="31"/>
  <c r="L49" i="33"/>
  <c r="H127" i="31"/>
  <c r="J44" i="33"/>
  <c r="F122" i="31"/>
  <c r="J40" i="33"/>
  <c r="F118" i="31"/>
  <c r="J36" i="33"/>
  <c r="F114" i="31"/>
  <c r="J32" i="33"/>
  <c r="F110" i="31"/>
  <c r="J28" i="33"/>
  <c r="F106" i="31"/>
  <c r="J24" i="33"/>
  <c r="F102" i="31"/>
  <c r="J20" i="33"/>
  <c r="F98" i="31"/>
  <c r="J16" i="33"/>
  <c r="F94" i="31"/>
  <c r="G92" i="31"/>
  <c r="K14" i="33"/>
  <c r="T74" i="28"/>
  <c r="T73" i="28"/>
  <c r="T72" i="28"/>
  <c r="T71" i="28"/>
  <c r="T70" i="28"/>
  <c r="T69" i="28"/>
  <c r="K58" i="33" s="1"/>
  <c r="T68" i="28"/>
  <c r="K60" i="33" s="1"/>
  <c r="T67" i="28"/>
  <c r="K59" i="33" s="1"/>
  <c r="K12" i="33"/>
  <c r="G90" i="31"/>
  <c r="K52" i="33"/>
  <c r="G130" i="31"/>
  <c r="L46" i="33"/>
  <c r="H124" i="31"/>
  <c r="L42" i="33"/>
  <c r="H120" i="31"/>
  <c r="L38" i="33"/>
  <c r="H116" i="31"/>
  <c r="L34" i="33"/>
  <c r="H112" i="31"/>
  <c r="L30" i="33"/>
  <c r="H108" i="31"/>
  <c r="L26" i="33"/>
  <c r="H104" i="31"/>
  <c r="L22" i="33"/>
  <c r="H100" i="31"/>
  <c r="L18" i="33"/>
  <c r="H96" i="31"/>
  <c r="M13" i="33"/>
  <c r="I91" i="31"/>
  <c r="K15" i="33"/>
  <c r="G93" i="31"/>
  <c r="H13" i="35"/>
  <c r="F137" i="30"/>
  <c r="D8" i="36"/>
  <c r="D13" i="34" s="1"/>
  <c r="F94" i="20" s="1"/>
  <c r="F52" i="37"/>
  <c r="F57" i="4" s="1"/>
  <c r="F92" i="20" s="1"/>
  <c r="F135" i="30"/>
  <c r="J57" i="32"/>
  <c r="F50" i="37"/>
  <c r="F55" i="4" s="1"/>
  <c r="F90" i="20" s="1"/>
  <c r="F133" i="30"/>
  <c r="J55" i="32"/>
  <c r="F48" i="37"/>
  <c r="F53" i="4" s="1"/>
  <c r="F88" i="20" s="1"/>
  <c r="F131" i="30"/>
  <c r="J53" i="32"/>
  <c r="F46" i="37"/>
  <c r="F51" i="4" s="1"/>
  <c r="F86" i="20" s="1"/>
  <c r="F129" i="30"/>
  <c r="J51" i="32"/>
  <c r="F44" i="37"/>
  <c r="F49" i="4" s="1"/>
  <c r="F84" i="20" s="1"/>
  <c r="F127" i="30"/>
  <c r="J49" i="32"/>
  <c r="F42" i="37"/>
  <c r="F47" i="4" s="1"/>
  <c r="F82" i="20" s="1"/>
  <c r="F125" i="30"/>
  <c r="J47" i="32"/>
  <c r="F40" i="37"/>
  <c r="F45" i="4" s="1"/>
  <c r="F80" i="20" s="1"/>
  <c r="F123" i="30"/>
  <c r="J45" i="32"/>
  <c r="F38" i="37"/>
  <c r="F43" i="4" s="1"/>
  <c r="F78" i="20" s="1"/>
  <c r="F121" i="30"/>
  <c r="J43" i="32"/>
  <c r="F36" i="37"/>
  <c r="F41" i="4" s="1"/>
  <c r="F76" i="20" s="1"/>
  <c r="F119" i="30"/>
  <c r="J41" i="32"/>
  <c r="F34" i="37"/>
  <c r="F39" i="4" s="1"/>
  <c r="F74" i="20" s="1"/>
  <c r="F117" i="30"/>
  <c r="J39" i="32"/>
  <c r="F32" i="37"/>
  <c r="F37" i="4" s="1"/>
  <c r="F72" i="20" s="1"/>
  <c r="F115" i="30"/>
  <c r="J37" i="32"/>
  <c r="F30" i="37"/>
  <c r="F35" i="4" s="1"/>
  <c r="F70" i="20" s="1"/>
  <c r="F113" i="30"/>
  <c r="J35" i="32"/>
  <c r="F28" i="37"/>
  <c r="F33" i="4" s="1"/>
  <c r="F68" i="20" s="1"/>
  <c r="F111" i="30"/>
  <c r="J33" i="32"/>
  <c r="F26" i="37"/>
  <c r="F31" i="4" s="1"/>
  <c r="F66" i="20" s="1"/>
  <c r="F109" i="30"/>
  <c r="J31" i="32"/>
  <c r="F24" i="37"/>
  <c r="F29" i="4" s="1"/>
  <c r="F64" i="20" s="1"/>
  <c r="F107" i="30"/>
  <c r="J29" i="32"/>
  <c r="F22" i="37"/>
  <c r="F27" i="4" s="1"/>
  <c r="F62" i="20" s="1"/>
  <c r="F105" i="30"/>
  <c r="J27" i="32"/>
  <c r="F20" i="37"/>
  <c r="F25" i="4" s="1"/>
  <c r="F60" i="20" s="1"/>
  <c r="F103" i="30"/>
  <c r="J25" i="32"/>
  <c r="F18" i="37"/>
  <c r="F23" i="4" s="1"/>
  <c r="F58" i="20" s="1"/>
  <c r="F101" i="30"/>
  <c r="J23" i="32"/>
  <c r="F16" i="37"/>
  <c r="F21" i="4" s="1"/>
  <c r="F56" i="20" s="1"/>
  <c r="F99" i="30"/>
  <c r="J21" i="32"/>
  <c r="F14" i="37"/>
  <c r="F19" i="4" s="1"/>
  <c r="F54" i="20" s="1"/>
  <c r="F97" i="30"/>
  <c r="J19" i="32"/>
  <c r="M57" i="32"/>
  <c r="I52" i="37"/>
  <c r="I57" i="4" s="1"/>
  <c r="I92" i="20" s="1"/>
  <c r="I135" i="30"/>
  <c r="M53" i="32"/>
  <c r="I48" i="37"/>
  <c r="I53" i="4" s="1"/>
  <c r="I88" i="20" s="1"/>
  <c r="I131" i="30"/>
  <c r="M49" i="32"/>
  <c r="I44" i="37"/>
  <c r="I49" i="4" s="1"/>
  <c r="I84" i="20" s="1"/>
  <c r="I127" i="30"/>
  <c r="M45" i="32"/>
  <c r="I40" i="37"/>
  <c r="I45" i="4" s="1"/>
  <c r="I80" i="20" s="1"/>
  <c r="I123" i="30"/>
  <c r="M41" i="32"/>
  <c r="I36" i="37"/>
  <c r="I41" i="4" s="1"/>
  <c r="I76" i="20" s="1"/>
  <c r="I119" i="30"/>
  <c r="M37" i="32"/>
  <c r="I32" i="37"/>
  <c r="I37" i="4" s="1"/>
  <c r="I72" i="20" s="1"/>
  <c r="I115" i="30"/>
  <c r="M33" i="32"/>
  <c r="I28" i="37"/>
  <c r="I33" i="4" s="1"/>
  <c r="I68" i="20" s="1"/>
  <c r="I111" i="30"/>
  <c r="M29" i="32"/>
  <c r="I24" i="37"/>
  <c r="I29" i="4" s="1"/>
  <c r="I64" i="20" s="1"/>
  <c r="I107" i="30"/>
  <c r="M25" i="32"/>
  <c r="I20" i="37"/>
  <c r="I25" i="4" s="1"/>
  <c r="I60" i="20" s="1"/>
  <c r="I103" i="30"/>
  <c r="M21" i="32"/>
  <c r="I16" i="37"/>
  <c r="I21" i="4" s="1"/>
  <c r="I56" i="20" s="1"/>
  <c r="I99" i="30"/>
  <c r="M17" i="32"/>
  <c r="I12" i="37"/>
  <c r="I17" i="4" s="1"/>
  <c r="I52" i="20" s="1"/>
  <c r="I95" i="30"/>
  <c r="H10" i="37"/>
  <c r="H15" i="4" s="1"/>
  <c r="H50" i="20" s="1"/>
  <c r="L15" i="32"/>
  <c r="H93" i="30"/>
  <c r="H8" i="37"/>
  <c r="H13" i="4" s="1"/>
  <c r="H48" i="20" s="1"/>
  <c r="L13" i="32"/>
  <c r="H91" i="30"/>
  <c r="I59" i="32"/>
  <c r="I30" i="30" s="1"/>
  <c r="I30" i="31"/>
  <c r="I58" i="32"/>
  <c r="I29" i="30" s="1"/>
  <c r="I29" i="31"/>
  <c r="E8" i="36"/>
  <c r="E13" i="34" s="1"/>
  <c r="G94" i="20" s="1"/>
  <c r="I13" i="35"/>
  <c r="G137" i="30"/>
  <c r="H49" i="37"/>
  <c r="H54" i="4" s="1"/>
  <c r="H89" i="20" s="1"/>
  <c r="L54" i="32"/>
  <c r="H132" i="30"/>
  <c r="H41" i="37"/>
  <c r="H46" i="4" s="1"/>
  <c r="H81" i="20" s="1"/>
  <c r="L46" i="32"/>
  <c r="H124" i="30"/>
  <c r="H33" i="37"/>
  <c r="H38" i="4" s="1"/>
  <c r="H73" i="20" s="1"/>
  <c r="L38" i="32"/>
  <c r="H116" i="30"/>
  <c r="H25" i="37"/>
  <c r="H30" i="4" s="1"/>
  <c r="H65" i="20" s="1"/>
  <c r="L30" i="32"/>
  <c r="H108" i="30"/>
  <c r="H17" i="37"/>
  <c r="H22" i="4" s="1"/>
  <c r="H57" i="20" s="1"/>
  <c r="L22" i="32"/>
  <c r="H100" i="30"/>
  <c r="M15" i="32"/>
  <c r="I10" i="37"/>
  <c r="I15" i="4" s="1"/>
  <c r="I50" i="20" s="1"/>
  <c r="I93" i="30"/>
  <c r="F7" i="36"/>
  <c r="F12" i="34" s="1"/>
  <c r="H93" i="20" s="1"/>
  <c r="J12" i="35"/>
  <c r="H136" i="30"/>
  <c r="G52" i="37"/>
  <c r="G57" i="4" s="1"/>
  <c r="G92" i="20" s="1"/>
  <c r="K57" i="32"/>
  <c r="G135" i="30"/>
  <c r="G44" i="37"/>
  <c r="G49" i="4" s="1"/>
  <c r="G84" i="20" s="1"/>
  <c r="K49" i="32"/>
  <c r="G127" i="30"/>
  <c r="G36" i="37"/>
  <c r="G41" i="4" s="1"/>
  <c r="G76" i="20" s="1"/>
  <c r="K41" i="32"/>
  <c r="G119" i="30"/>
  <c r="G28" i="37"/>
  <c r="G33" i="4" s="1"/>
  <c r="G68" i="20" s="1"/>
  <c r="K33" i="32"/>
  <c r="G111" i="30"/>
  <c r="G20" i="37"/>
  <c r="G25" i="4" s="1"/>
  <c r="G60" i="20" s="1"/>
  <c r="K25" i="32"/>
  <c r="G103" i="30"/>
  <c r="G12" i="37"/>
  <c r="G17" i="4" s="1"/>
  <c r="G52" i="20" s="1"/>
  <c r="K17" i="32"/>
  <c r="G95" i="30"/>
  <c r="G8" i="37"/>
  <c r="G13" i="4" s="1"/>
  <c r="G48" i="20" s="1"/>
  <c r="K13" i="32"/>
  <c r="G91" i="30"/>
  <c r="H12" i="26"/>
  <c r="F136" i="31"/>
  <c r="J56" i="33"/>
  <c r="F134" i="31"/>
  <c r="J54" i="33"/>
  <c r="F132" i="31"/>
  <c r="J52" i="33"/>
  <c r="F130" i="31"/>
  <c r="J50" i="33"/>
  <c r="F128" i="31"/>
  <c r="J48" i="33"/>
  <c r="F126" i="31"/>
  <c r="M56" i="33"/>
  <c r="I134" i="31"/>
  <c r="M52" i="33"/>
  <c r="I130" i="31"/>
  <c r="M48" i="33"/>
  <c r="I126" i="31"/>
  <c r="K46" i="33"/>
  <c r="G124" i="31"/>
  <c r="K44" i="33"/>
  <c r="G122" i="31"/>
  <c r="K42" i="33"/>
  <c r="G120" i="31"/>
  <c r="K40" i="33"/>
  <c r="G118" i="31"/>
  <c r="G116" i="31"/>
  <c r="K38" i="33"/>
  <c r="G114" i="31"/>
  <c r="K36" i="33"/>
  <c r="G112" i="31"/>
  <c r="K34" i="33"/>
  <c r="G110" i="31"/>
  <c r="K32" i="33"/>
  <c r="G108" i="31"/>
  <c r="K30" i="33"/>
  <c r="G106" i="31"/>
  <c r="K28" i="33"/>
  <c r="G104" i="31"/>
  <c r="K26" i="33"/>
  <c r="G102" i="31"/>
  <c r="K24" i="33"/>
  <c r="G100" i="31"/>
  <c r="K22" i="33"/>
  <c r="G98" i="31"/>
  <c r="K20" i="33"/>
  <c r="G96" i="31"/>
  <c r="K18" i="33"/>
  <c r="G94" i="31"/>
  <c r="K16" i="33"/>
  <c r="L55" i="33"/>
  <c r="H133" i="31"/>
  <c r="I125" i="31"/>
  <c r="M47" i="33"/>
  <c r="I121" i="31"/>
  <c r="M43" i="33"/>
  <c r="M39" i="33"/>
  <c r="I117" i="31"/>
  <c r="M35" i="33"/>
  <c r="I113" i="31"/>
  <c r="M31" i="33"/>
  <c r="I109" i="31"/>
  <c r="M27" i="33"/>
  <c r="I105" i="31"/>
  <c r="M23" i="33"/>
  <c r="I101" i="31"/>
  <c r="M19" i="33"/>
  <c r="I97" i="31"/>
  <c r="M15" i="33"/>
  <c r="I93" i="31"/>
  <c r="L13" i="33"/>
  <c r="H91" i="31"/>
  <c r="K54" i="33"/>
  <c r="G132" i="31"/>
  <c r="K47" i="33"/>
  <c r="G125" i="31"/>
  <c r="K43" i="33"/>
  <c r="G121" i="31"/>
  <c r="K39" i="33"/>
  <c r="G117" i="31"/>
  <c r="K35" i="33"/>
  <c r="G113" i="31"/>
  <c r="K31" i="33"/>
  <c r="G109" i="31"/>
  <c r="K27" i="33"/>
  <c r="G105" i="31"/>
  <c r="K23" i="33"/>
  <c r="G101" i="31"/>
  <c r="K19" i="33"/>
  <c r="G97" i="31"/>
  <c r="J14" i="33"/>
  <c r="F92" i="31"/>
  <c r="U74" i="28"/>
  <c r="U73" i="28"/>
  <c r="U72" i="28"/>
  <c r="U71" i="28"/>
  <c r="U70" i="28"/>
  <c r="U69" i="28"/>
  <c r="L58" i="33" s="1"/>
  <c r="U68" i="28"/>
  <c r="L60" i="33" s="1"/>
  <c r="U67" i="28"/>
  <c r="L59" i="33" s="1"/>
  <c r="L12" i="33"/>
  <c r="H90" i="31"/>
  <c r="F8" i="36"/>
  <c r="F13" i="34" s="1"/>
  <c r="H94" i="20" s="1"/>
  <c r="J13" i="35"/>
  <c r="H137" i="30"/>
  <c r="H52" i="37"/>
  <c r="H57" i="4" s="1"/>
  <c r="H92" i="20" s="1"/>
  <c r="L57" i="32"/>
  <c r="H135" i="30"/>
  <c r="H50" i="37"/>
  <c r="H55" i="4" s="1"/>
  <c r="H90" i="20" s="1"/>
  <c r="L55" i="32"/>
  <c r="H133" i="30"/>
  <c r="H48" i="37"/>
  <c r="H53" i="4" s="1"/>
  <c r="H88" i="20" s="1"/>
  <c r="L53" i="32"/>
  <c r="H131" i="30"/>
  <c r="H46" i="37"/>
  <c r="H51" i="4" s="1"/>
  <c r="H86" i="20" s="1"/>
  <c r="L51" i="32"/>
  <c r="H129" i="30"/>
  <c r="H44" i="37"/>
  <c r="H49" i="4" s="1"/>
  <c r="H84" i="20" s="1"/>
  <c r="L49" i="32"/>
  <c r="H127" i="30"/>
  <c r="H42" i="37"/>
  <c r="H47" i="4" s="1"/>
  <c r="H82" i="20" s="1"/>
  <c r="L47" i="32"/>
  <c r="H125" i="30"/>
  <c r="H40" i="37"/>
  <c r="H45" i="4" s="1"/>
  <c r="H80" i="20" s="1"/>
  <c r="L45" i="32"/>
  <c r="H123" i="30"/>
  <c r="H38" i="37"/>
  <c r="H43" i="4" s="1"/>
  <c r="H78" i="20" s="1"/>
  <c r="L43" i="32"/>
  <c r="H121" i="30"/>
  <c r="H36" i="37"/>
  <c r="H41" i="4" s="1"/>
  <c r="H76" i="20" s="1"/>
  <c r="L41" i="32"/>
  <c r="H119" i="30"/>
  <c r="H34" i="37"/>
  <c r="H39" i="4" s="1"/>
  <c r="H74" i="20" s="1"/>
  <c r="L39" i="32"/>
  <c r="H117" i="30"/>
  <c r="H32" i="37"/>
  <c r="H37" i="4" s="1"/>
  <c r="H72" i="20" s="1"/>
  <c r="L37" i="32"/>
  <c r="H115" i="30"/>
  <c r="H30" i="37"/>
  <c r="H35" i="4" s="1"/>
  <c r="H70" i="20" s="1"/>
  <c r="L35" i="32"/>
  <c r="H113" i="30"/>
  <c r="H28" i="37"/>
  <c r="H33" i="4" s="1"/>
  <c r="H68" i="20" s="1"/>
  <c r="L33" i="32"/>
  <c r="H111" i="30"/>
  <c r="H26" i="37"/>
  <c r="H31" i="4" s="1"/>
  <c r="H66" i="20" s="1"/>
  <c r="L31" i="32"/>
  <c r="H109" i="30"/>
  <c r="H24" i="37"/>
  <c r="H29" i="4" s="1"/>
  <c r="H64" i="20" s="1"/>
  <c r="L29" i="32"/>
  <c r="H107" i="30"/>
  <c r="H22" i="37"/>
  <c r="H27" i="4" s="1"/>
  <c r="H62" i="20" s="1"/>
  <c r="L27" i="32"/>
  <c r="H105" i="30"/>
  <c r="H20" i="37"/>
  <c r="H25" i="4" s="1"/>
  <c r="H60" i="20" s="1"/>
  <c r="L25" i="32"/>
  <c r="H103" i="30"/>
  <c r="H18" i="37"/>
  <c r="H23" i="4" s="1"/>
  <c r="H58" i="20" s="1"/>
  <c r="L23" i="32"/>
  <c r="H101" i="30"/>
  <c r="H16" i="37"/>
  <c r="H21" i="4" s="1"/>
  <c r="H56" i="20" s="1"/>
  <c r="L21" i="32"/>
  <c r="H99" i="30"/>
  <c r="H14" i="37"/>
  <c r="H19" i="4" s="1"/>
  <c r="H54" i="20" s="1"/>
  <c r="L19" i="32"/>
  <c r="H97" i="30"/>
  <c r="H12" i="37"/>
  <c r="H17" i="4" s="1"/>
  <c r="H52" i="20" s="1"/>
  <c r="L17" i="32"/>
  <c r="H95" i="30"/>
  <c r="J56" i="32"/>
  <c r="F51" i="37"/>
  <c r="F56" i="4" s="1"/>
  <c r="F91" i="20" s="1"/>
  <c r="F134" i="30"/>
  <c r="J52" i="32"/>
  <c r="F47" i="37"/>
  <c r="F52" i="4" s="1"/>
  <c r="F87" i="20" s="1"/>
  <c r="F130" i="30"/>
  <c r="J48" i="32"/>
  <c r="F43" i="37"/>
  <c r="F48" i="4" s="1"/>
  <c r="F83" i="20" s="1"/>
  <c r="F126" i="30"/>
  <c r="J44" i="32"/>
  <c r="F39" i="37"/>
  <c r="F44" i="4" s="1"/>
  <c r="F79" i="20" s="1"/>
  <c r="F122" i="30"/>
  <c r="J40" i="32"/>
  <c r="F35" i="37"/>
  <c r="F40" i="4" s="1"/>
  <c r="F75" i="20" s="1"/>
  <c r="F118" i="30"/>
  <c r="J36" i="32"/>
  <c r="F31" i="37"/>
  <c r="F36" i="4" s="1"/>
  <c r="F71" i="20" s="1"/>
  <c r="F114" i="30"/>
  <c r="J32" i="32"/>
  <c r="F27" i="37"/>
  <c r="F32" i="4" s="1"/>
  <c r="F67" i="20" s="1"/>
  <c r="F110" i="30"/>
  <c r="J28" i="32"/>
  <c r="F23" i="37"/>
  <c r="F28" i="4" s="1"/>
  <c r="F63" i="20" s="1"/>
  <c r="F106" i="30"/>
  <c r="J24" i="32"/>
  <c r="F19" i="37"/>
  <c r="F24" i="4" s="1"/>
  <c r="F59" i="20" s="1"/>
  <c r="F102" i="30"/>
  <c r="J20" i="32"/>
  <c r="F15" i="37"/>
  <c r="F20" i="4" s="1"/>
  <c r="F55" i="20" s="1"/>
  <c r="F98" i="30"/>
  <c r="F12" i="37"/>
  <c r="F17" i="4" s="1"/>
  <c r="F52" i="20" s="1"/>
  <c r="F95" i="30"/>
  <c r="J17" i="32"/>
  <c r="F10" i="37"/>
  <c r="F15" i="4" s="1"/>
  <c r="F50" i="20" s="1"/>
  <c r="F93" i="30"/>
  <c r="J15" i="32"/>
  <c r="F8" i="37"/>
  <c r="F13" i="4" s="1"/>
  <c r="F48" i="20" s="1"/>
  <c r="F91" i="30"/>
  <c r="J13" i="32"/>
  <c r="G31" i="31"/>
  <c r="G60" i="32"/>
  <c r="G31" i="30" s="1"/>
  <c r="G29" i="31"/>
  <c r="G58" i="32"/>
  <c r="G29" i="30" s="1"/>
  <c r="H51" i="37"/>
  <c r="H56" i="4" s="1"/>
  <c r="H91" i="20" s="1"/>
  <c r="L56" i="32"/>
  <c r="H134" i="30"/>
  <c r="H43" i="37"/>
  <c r="H48" i="4" s="1"/>
  <c r="H83" i="20" s="1"/>
  <c r="L48" i="32"/>
  <c r="H126" i="30"/>
  <c r="H35" i="37"/>
  <c r="H40" i="4" s="1"/>
  <c r="H75" i="20" s="1"/>
  <c r="L40" i="32"/>
  <c r="H118" i="30"/>
  <c r="H27" i="37"/>
  <c r="H32" i="4" s="1"/>
  <c r="H67" i="20" s="1"/>
  <c r="L32" i="32"/>
  <c r="H110" i="30"/>
  <c r="H19" i="37"/>
  <c r="H24" i="4" s="1"/>
  <c r="H59" i="20" s="1"/>
  <c r="L24" i="32"/>
  <c r="H102" i="30"/>
  <c r="J16" i="32"/>
  <c r="F11" i="37"/>
  <c r="F16" i="4" s="1"/>
  <c r="F51" i="20" s="1"/>
  <c r="F94" i="30"/>
  <c r="S74" i="6"/>
  <c r="S73" i="6"/>
  <c r="S72" i="6"/>
  <c r="S71" i="6"/>
  <c r="S70" i="6"/>
  <c r="S69" i="6"/>
  <c r="S68" i="6"/>
  <c r="S67" i="6"/>
  <c r="J12" i="32"/>
  <c r="F7" i="37"/>
  <c r="F90" i="30"/>
  <c r="F31" i="31"/>
  <c r="F60" i="32"/>
  <c r="F31" i="30" s="1"/>
  <c r="U74" i="6"/>
  <c r="U73" i="6"/>
  <c r="U72" i="6"/>
  <c r="U71" i="6"/>
  <c r="U70" i="6"/>
  <c r="U69" i="6"/>
  <c r="U68" i="6"/>
  <c r="U67" i="6"/>
  <c r="H7" i="37"/>
  <c r="L12" i="32"/>
  <c r="H90" i="30"/>
  <c r="H31" i="31"/>
  <c r="H60" i="32"/>
  <c r="H31" i="30" s="1"/>
  <c r="G46" i="37"/>
  <c r="G51" i="4" s="1"/>
  <c r="G86" i="20" s="1"/>
  <c r="K51" i="32"/>
  <c r="G129" i="30"/>
  <c r="G38" i="37"/>
  <c r="G43" i="4" s="1"/>
  <c r="G78" i="20" s="1"/>
  <c r="K43" i="32"/>
  <c r="G121" i="30"/>
  <c r="G30" i="37"/>
  <c r="G35" i="4" s="1"/>
  <c r="G70" i="20" s="1"/>
  <c r="K35" i="32"/>
  <c r="G113" i="30"/>
  <c r="G22" i="37"/>
  <c r="G27" i="4" s="1"/>
  <c r="G62" i="20" s="1"/>
  <c r="K27" i="32"/>
  <c r="G105" i="30"/>
  <c r="G14" i="37"/>
  <c r="G19" i="4" s="1"/>
  <c r="G54" i="20" s="1"/>
  <c r="K19" i="32"/>
  <c r="G97" i="30"/>
  <c r="G10" i="37"/>
  <c r="G15" i="4" s="1"/>
  <c r="G50" i="20" s="1"/>
  <c r="K15" i="32"/>
  <c r="G93" i="30"/>
  <c r="J12" i="26"/>
  <c r="H136" i="31"/>
  <c r="L56" i="33"/>
  <c r="H134" i="31"/>
  <c r="L54" i="33"/>
  <c r="H132" i="31"/>
  <c r="L52" i="33"/>
  <c r="H130" i="31"/>
  <c r="L50" i="33"/>
  <c r="H128" i="31"/>
  <c r="L48" i="33"/>
  <c r="H126" i="31"/>
  <c r="J13" i="26"/>
  <c r="H137" i="31"/>
  <c r="J55" i="33"/>
  <c r="F133" i="31"/>
  <c r="J51" i="33"/>
  <c r="F129" i="31"/>
  <c r="L47" i="33"/>
  <c r="H125" i="31"/>
  <c r="L45" i="33"/>
  <c r="H123" i="31"/>
  <c r="L43" i="33"/>
  <c r="H121" i="31"/>
  <c r="L41" i="33"/>
  <c r="H119" i="31"/>
  <c r="L39" i="33"/>
  <c r="H117" i="31"/>
  <c r="L37" i="33"/>
  <c r="H115" i="31"/>
  <c r="L35" i="33"/>
  <c r="H113" i="31"/>
  <c r="L33" i="33"/>
  <c r="H111" i="31"/>
  <c r="L31" i="33"/>
  <c r="H109" i="31"/>
  <c r="L29" i="33"/>
  <c r="H107" i="31"/>
  <c r="L27" i="33"/>
  <c r="H105" i="31"/>
  <c r="L25" i="33"/>
  <c r="H103" i="31"/>
  <c r="L23" i="33"/>
  <c r="H101" i="31"/>
  <c r="L21" i="33"/>
  <c r="H99" i="31"/>
  <c r="L19" i="33"/>
  <c r="H97" i="31"/>
  <c r="L17" i="33"/>
  <c r="H95" i="31"/>
  <c r="L15" i="33"/>
  <c r="H93" i="31"/>
  <c r="L53" i="33"/>
  <c r="H131" i="31"/>
  <c r="J46" i="33"/>
  <c r="F124" i="31"/>
  <c r="J42" i="33"/>
  <c r="F120" i="31"/>
  <c r="J38" i="33"/>
  <c r="F116" i="31"/>
  <c r="J34" i="33"/>
  <c r="F112" i="31"/>
  <c r="J30" i="33"/>
  <c r="F108" i="31"/>
  <c r="J26" i="33"/>
  <c r="F104" i="31"/>
  <c r="J22" i="33"/>
  <c r="F100" i="31"/>
  <c r="J18" i="33"/>
  <c r="F96" i="31"/>
  <c r="J15" i="33"/>
  <c r="F93" i="31"/>
  <c r="J13" i="33"/>
  <c r="F91" i="31"/>
  <c r="K56" i="33"/>
  <c r="G134" i="31"/>
  <c r="K48" i="33"/>
  <c r="G126" i="31"/>
  <c r="L44" i="33"/>
  <c r="H122" i="31"/>
  <c r="L40" i="33"/>
  <c r="H118" i="31"/>
  <c r="L36" i="33"/>
  <c r="H114" i="31"/>
  <c r="L32" i="33"/>
  <c r="H110" i="31"/>
  <c r="L28" i="33"/>
  <c r="H106" i="31"/>
  <c r="L24" i="33"/>
  <c r="H102" i="31"/>
  <c r="L20" i="33"/>
  <c r="H98" i="31"/>
  <c r="L16" i="33"/>
  <c r="H94" i="31"/>
  <c r="L14" i="33"/>
  <c r="H92" i="31"/>
  <c r="E7" i="36"/>
  <c r="E12" i="34" s="1"/>
  <c r="G93" i="20" s="1"/>
  <c r="I12" i="35"/>
  <c r="G136" i="30"/>
  <c r="G51" i="37"/>
  <c r="G56" i="4" s="1"/>
  <c r="G91" i="20" s="1"/>
  <c r="K56" i="32"/>
  <c r="G134" i="30"/>
  <c r="G49" i="37"/>
  <c r="G54" i="4" s="1"/>
  <c r="G89" i="20" s="1"/>
  <c r="K54" i="32"/>
  <c r="G132" i="30"/>
  <c r="G47" i="37"/>
  <c r="G52" i="4" s="1"/>
  <c r="G87" i="20" s="1"/>
  <c r="K52" i="32"/>
  <c r="G130" i="30"/>
  <c r="G45" i="37"/>
  <c r="G50" i="4" s="1"/>
  <c r="G85" i="20" s="1"/>
  <c r="K50" i="32"/>
  <c r="G128" i="30"/>
  <c r="G43" i="37"/>
  <c r="G48" i="4" s="1"/>
  <c r="G83" i="20" s="1"/>
  <c r="K48" i="32"/>
  <c r="G126" i="30"/>
  <c r="G41" i="37"/>
  <c r="G46" i="4" s="1"/>
  <c r="G81" i="20" s="1"/>
  <c r="K46" i="32"/>
  <c r="G124" i="30"/>
  <c r="G39" i="37"/>
  <c r="G44" i="4" s="1"/>
  <c r="G79" i="20" s="1"/>
  <c r="K44" i="32"/>
  <c r="G122" i="30"/>
  <c r="G37" i="37"/>
  <c r="G42" i="4" s="1"/>
  <c r="G77" i="20" s="1"/>
  <c r="K42" i="32"/>
  <c r="G120" i="30"/>
  <c r="G35" i="37"/>
  <c r="G40" i="4" s="1"/>
  <c r="G75" i="20" s="1"/>
  <c r="K40" i="32"/>
  <c r="G118" i="30"/>
  <c r="G33" i="37"/>
  <c r="G38" i="4" s="1"/>
  <c r="G73" i="20" s="1"/>
  <c r="K38" i="32"/>
  <c r="G116" i="30"/>
  <c r="G31" i="37"/>
  <c r="G36" i="4" s="1"/>
  <c r="G71" i="20" s="1"/>
  <c r="K36" i="32"/>
  <c r="G114" i="30"/>
  <c r="G29" i="37"/>
  <c r="G34" i="4" s="1"/>
  <c r="G69" i="20" s="1"/>
  <c r="K34" i="32"/>
  <c r="G112" i="30"/>
  <c r="G27" i="37"/>
  <c r="G32" i="4" s="1"/>
  <c r="G67" i="20" s="1"/>
  <c r="K32" i="32"/>
  <c r="G110" i="30"/>
  <c r="G25" i="37"/>
  <c r="G30" i="4" s="1"/>
  <c r="G65" i="20" s="1"/>
  <c r="K30" i="32"/>
  <c r="G108" i="30"/>
  <c r="G23" i="37"/>
  <c r="G28" i="4" s="1"/>
  <c r="G63" i="20" s="1"/>
  <c r="K28" i="32"/>
  <c r="G106" i="30"/>
  <c r="G21" i="37"/>
  <c r="G26" i="4" s="1"/>
  <c r="G61" i="20" s="1"/>
  <c r="K26" i="32"/>
  <c r="G104" i="30"/>
  <c r="G19" i="37"/>
  <c r="G24" i="4" s="1"/>
  <c r="G59" i="20" s="1"/>
  <c r="K24" i="32"/>
  <c r="G102" i="30"/>
  <c r="G17" i="37"/>
  <c r="G22" i="4" s="1"/>
  <c r="G57" i="20" s="1"/>
  <c r="K22" i="32"/>
  <c r="G100" i="30"/>
  <c r="G15" i="37"/>
  <c r="G20" i="4" s="1"/>
  <c r="G55" i="20" s="1"/>
  <c r="K20" i="32"/>
  <c r="G98" i="30"/>
  <c r="G13" i="37"/>
  <c r="G18" i="4" s="1"/>
  <c r="G53" i="20" s="1"/>
  <c r="K18" i="32"/>
  <c r="G96" i="30"/>
  <c r="G8" i="36"/>
  <c r="G13" i="34" s="1"/>
  <c r="I94" i="20" s="1"/>
  <c r="K13" i="35"/>
  <c r="I137" i="30"/>
  <c r="M55" i="32"/>
  <c r="I50" i="37"/>
  <c r="I55" i="4" s="1"/>
  <c r="I90" i="20" s="1"/>
  <c r="I133" i="30"/>
  <c r="M51" i="32"/>
  <c r="I46" i="37"/>
  <c r="I51" i="4" s="1"/>
  <c r="I86" i="20" s="1"/>
  <c r="I129" i="30"/>
  <c r="M47" i="32"/>
  <c r="I42" i="37"/>
  <c r="I47" i="4" s="1"/>
  <c r="I82" i="20" s="1"/>
  <c r="I125" i="30"/>
  <c r="M43" i="32"/>
  <c r="I38" i="37"/>
  <c r="I43" i="4" s="1"/>
  <c r="I78" i="20" s="1"/>
  <c r="I121" i="30"/>
  <c r="M39" i="32"/>
  <c r="I34" i="37"/>
  <c r="I39" i="4" s="1"/>
  <c r="I74" i="20" s="1"/>
  <c r="I117" i="30"/>
  <c r="M35" i="32"/>
  <c r="I30" i="37"/>
  <c r="I35" i="4" s="1"/>
  <c r="I70" i="20" s="1"/>
  <c r="I113" i="30"/>
  <c r="M31" i="32"/>
  <c r="I26" i="37"/>
  <c r="I31" i="4" s="1"/>
  <c r="I66" i="20" s="1"/>
  <c r="I109" i="30"/>
  <c r="M27" i="32"/>
  <c r="I22" i="37"/>
  <c r="I27" i="4" s="1"/>
  <c r="I62" i="20" s="1"/>
  <c r="I105" i="30"/>
  <c r="M23" i="32"/>
  <c r="I18" i="37"/>
  <c r="I23" i="4" s="1"/>
  <c r="I58" i="20" s="1"/>
  <c r="I101" i="30"/>
  <c r="M19" i="32"/>
  <c r="I14" i="37"/>
  <c r="I19" i="4" s="1"/>
  <c r="I54" i="20" s="1"/>
  <c r="I97" i="30"/>
  <c r="I11" i="37"/>
  <c r="I16" i="4" s="1"/>
  <c r="I51" i="20" s="1"/>
  <c r="M16" i="32"/>
  <c r="I94" i="30"/>
  <c r="I9" i="37"/>
  <c r="I14" i="4" s="1"/>
  <c r="I49" i="20" s="1"/>
  <c r="M14" i="32"/>
  <c r="I92" i="30"/>
  <c r="V74" i="6"/>
  <c r="V73" i="6"/>
  <c r="V72" i="6"/>
  <c r="V71" i="6"/>
  <c r="V70" i="6"/>
  <c r="V69" i="6"/>
  <c r="V68" i="6"/>
  <c r="V67" i="6"/>
  <c r="I7" i="37"/>
  <c r="M12" i="32"/>
  <c r="I90" i="30"/>
  <c r="I60" i="32"/>
  <c r="I31" i="30" s="1"/>
  <c r="I31" i="31"/>
  <c r="H45" i="37"/>
  <c r="H50" i="4" s="1"/>
  <c r="H85" i="20" s="1"/>
  <c r="L50" i="32"/>
  <c r="H128" i="30"/>
  <c r="H37" i="37"/>
  <c r="H42" i="4" s="1"/>
  <c r="H77" i="20" s="1"/>
  <c r="L42" i="32"/>
  <c r="H120" i="30"/>
  <c r="H29" i="37"/>
  <c r="H34" i="4" s="1"/>
  <c r="H69" i="20" s="1"/>
  <c r="L34" i="32"/>
  <c r="H112" i="30"/>
  <c r="H21" i="37"/>
  <c r="H26" i="4" s="1"/>
  <c r="H61" i="20" s="1"/>
  <c r="L26" i="32"/>
  <c r="H104" i="30"/>
  <c r="H13" i="37"/>
  <c r="H18" i="4" s="1"/>
  <c r="H53" i="20" s="1"/>
  <c r="L18" i="32"/>
  <c r="H96" i="30"/>
  <c r="M13" i="32"/>
  <c r="I8" i="37"/>
  <c r="I13" i="4" s="1"/>
  <c r="I48" i="20" s="1"/>
  <c r="I91" i="30"/>
  <c r="H9" i="37"/>
  <c r="H14" i="4" s="1"/>
  <c r="H49" i="20" s="1"/>
  <c r="L14" i="32"/>
  <c r="H92" i="30"/>
  <c r="G48" i="37"/>
  <c r="G53" i="4" s="1"/>
  <c r="G88" i="20" s="1"/>
  <c r="K53" i="32"/>
  <c r="G131" i="30"/>
  <c r="G40" i="37"/>
  <c r="G45" i="4" s="1"/>
  <c r="G80" i="20" s="1"/>
  <c r="K45" i="32"/>
  <c r="G123" i="30"/>
  <c r="G32" i="37"/>
  <c r="G37" i="4" s="1"/>
  <c r="G72" i="20" s="1"/>
  <c r="K37" i="32"/>
  <c r="G115" i="30"/>
  <c r="G24" i="37"/>
  <c r="G29" i="4" s="1"/>
  <c r="G64" i="20" s="1"/>
  <c r="K29" i="32"/>
  <c r="G107" i="30"/>
  <c r="G16" i="37"/>
  <c r="G21" i="4" s="1"/>
  <c r="G56" i="20" s="1"/>
  <c r="K21" i="32"/>
  <c r="G99" i="30"/>
  <c r="I13" i="26"/>
  <c r="G137" i="31"/>
  <c r="K57" i="33"/>
  <c r="G135" i="31"/>
  <c r="K55" i="33"/>
  <c r="G133" i="31"/>
  <c r="K53" i="33"/>
  <c r="G131" i="31"/>
  <c r="K51" i="33"/>
  <c r="G129" i="31"/>
  <c r="K49" i="33"/>
  <c r="G127" i="31"/>
  <c r="I12" i="26"/>
  <c r="G136" i="31"/>
  <c r="M54" i="33"/>
  <c r="I132" i="31"/>
  <c r="M50" i="33"/>
  <c r="I128" i="31"/>
  <c r="J47" i="33"/>
  <c r="F125" i="31"/>
  <c r="J45" i="33"/>
  <c r="F123" i="31"/>
  <c r="J43" i="33"/>
  <c r="F121" i="31"/>
  <c r="J41" i="33"/>
  <c r="F119" i="31"/>
  <c r="J39" i="33"/>
  <c r="F117" i="31"/>
  <c r="J37" i="33"/>
  <c r="F115" i="31"/>
  <c r="J35" i="33"/>
  <c r="F113" i="31"/>
  <c r="J33" i="33"/>
  <c r="F111" i="31"/>
  <c r="J31" i="33"/>
  <c r="F109" i="31"/>
  <c r="J29" i="33"/>
  <c r="F107" i="31"/>
  <c r="J27" i="33"/>
  <c r="F105" i="31"/>
  <c r="J25" i="33"/>
  <c r="F103" i="31"/>
  <c r="J23" i="33"/>
  <c r="F101" i="31"/>
  <c r="J21" i="33"/>
  <c r="F99" i="31"/>
  <c r="J19" i="33"/>
  <c r="F97" i="31"/>
  <c r="J17" i="33"/>
  <c r="F95" i="31"/>
  <c r="I136" i="31"/>
  <c r="K12" i="26"/>
  <c r="L51" i="33"/>
  <c r="H129" i="31"/>
  <c r="I123" i="31"/>
  <c r="M45" i="33"/>
  <c r="I119" i="31"/>
  <c r="M41" i="33"/>
  <c r="M37" i="33"/>
  <c r="I115" i="31"/>
  <c r="M33" i="33"/>
  <c r="I111" i="31"/>
  <c r="M29" i="33"/>
  <c r="I107" i="31"/>
  <c r="M25" i="33"/>
  <c r="I103" i="31"/>
  <c r="M21" i="33"/>
  <c r="I99" i="31"/>
  <c r="M17" i="33"/>
  <c r="I95" i="31"/>
  <c r="I92" i="31"/>
  <c r="M14" i="33"/>
  <c r="V74" i="28"/>
  <c r="V73" i="28"/>
  <c r="V72" i="28"/>
  <c r="V71" i="28"/>
  <c r="V70" i="28"/>
  <c r="V69" i="28"/>
  <c r="M58" i="33" s="1"/>
  <c r="V68" i="28"/>
  <c r="M60" i="33" s="1"/>
  <c r="V67" i="28"/>
  <c r="M59" i="33" s="1"/>
  <c r="I90" i="31"/>
  <c r="M12" i="33"/>
  <c r="H13" i="26"/>
  <c r="F137" i="31"/>
  <c r="K50" i="33"/>
  <c r="G128" i="31"/>
  <c r="K45" i="33"/>
  <c r="G123" i="31"/>
  <c r="K41" i="33"/>
  <c r="G119" i="31"/>
  <c r="K37" i="33"/>
  <c r="G115" i="31"/>
  <c r="K33" i="33"/>
  <c r="G111" i="31"/>
  <c r="K29" i="33"/>
  <c r="G107" i="31"/>
  <c r="K25" i="33"/>
  <c r="G103" i="31"/>
  <c r="K21" i="33"/>
  <c r="G99" i="31"/>
  <c r="K17" i="33"/>
  <c r="G95" i="31"/>
  <c r="S74" i="28"/>
  <c r="S73" i="28"/>
  <c r="S72" i="28"/>
  <c r="S71" i="28"/>
  <c r="S70" i="28"/>
  <c r="S69" i="28"/>
  <c r="J58" i="33" s="1"/>
  <c r="S68" i="28"/>
  <c r="J60" i="33" s="1"/>
  <c r="S67" i="28"/>
  <c r="J59" i="33" s="1"/>
  <c r="J12" i="33"/>
  <c r="F90" i="31"/>
  <c r="K13" i="33"/>
  <c r="G91" i="31"/>
  <c r="I12" i="4" l="1"/>
  <c r="I47" i="20" s="1"/>
  <c r="I60" i="37"/>
  <c r="I58" i="37"/>
  <c r="I56" i="37"/>
  <c r="I54" i="37"/>
  <c r="I60" i="4" s="1"/>
  <c r="I59" i="37"/>
  <c r="I57" i="37"/>
  <c r="I55" i="37"/>
  <c r="I58" i="4" s="1"/>
  <c r="I36" i="20" s="1"/>
  <c r="I38" i="20"/>
  <c r="I53" i="37"/>
  <c r="I59" i="4" s="1"/>
  <c r="I37" i="20" s="1"/>
  <c r="M60" i="32"/>
  <c r="M31" i="30" s="1"/>
  <c r="M31" i="31"/>
  <c r="L30" i="31"/>
  <c r="L59" i="32"/>
  <c r="L30" i="30" s="1"/>
  <c r="L29" i="31"/>
  <c r="L58" i="32"/>
  <c r="L29" i="30" s="1"/>
  <c r="J31" i="31"/>
  <c r="J60" i="32"/>
  <c r="J31" i="30" s="1"/>
  <c r="K30" i="31"/>
  <c r="K59" i="32"/>
  <c r="K30" i="30" s="1"/>
  <c r="K29" i="31"/>
  <c r="K58" i="32"/>
  <c r="K29" i="30" s="1"/>
  <c r="G60" i="37"/>
  <c r="G59" i="37"/>
  <c r="G58" i="37"/>
  <c r="G57" i="37"/>
  <c r="G56" i="37"/>
  <c r="G55" i="37"/>
  <c r="G58" i="4" s="1"/>
  <c r="G36" i="20" s="1"/>
  <c r="G54" i="37"/>
  <c r="G60" i="4" s="1"/>
  <c r="G38" i="20" s="1"/>
  <c r="G53" i="37"/>
  <c r="G59" i="4" s="1"/>
  <c r="G37" i="20" s="1"/>
  <c r="G12" i="4"/>
  <c r="G47" i="20" s="1"/>
  <c r="M59" i="32"/>
  <c r="M30" i="30" s="1"/>
  <c r="M30" i="31"/>
  <c r="M58" i="32"/>
  <c r="M29" i="30" s="1"/>
  <c r="M29" i="31"/>
  <c r="H60" i="37"/>
  <c r="H59" i="37"/>
  <c r="H58" i="37"/>
  <c r="H57" i="37"/>
  <c r="H56" i="37"/>
  <c r="H55" i="37"/>
  <c r="H58" i="4" s="1"/>
  <c r="H36" i="20" s="1"/>
  <c r="H54" i="37"/>
  <c r="H60" i="4" s="1"/>
  <c r="H38" i="20" s="1"/>
  <c r="H53" i="37"/>
  <c r="H59" i="4" s="1"/>
  <c r="H37" i="20" s="1"/>
  <c r="H12" i="4"/>
  <c r="H47" i="20" s="1"/>
  <c r="L31" i="31"/>
  <c r="L60" i="32"/>
  <c r="L31" i="30" s="1"/>
  <c r="F60" i="37"/>
  <c r="F59" i="37"/>
  <c r="F58" i="37"/>
  <c r="F57" i="37"/>
  <c r="F56" i="37"/>
  <c r="F55" i="37"/>
  <c r="F58" i="4" s="1"/>
  <c r="F36" i="20" s="1"/>
  <c r="F54" i="37"/>
  <c r="F60" i="4" s="1"/>
  <c r="F38" i="20" s="1"/>
  <c r="F53" i="37"/>
  <c r="F59" i="4" s="1"/>
  <c r="F37" i="20" s="1"/>
  <c r="F12" i="4"/>
  <c r="F47" i="20" s="1"/>
  <c r="J30" i="31"/>
  <c r="J59" i="32"/>
  <c r="J30" i="30" s="1"/>
  <c r="J29" i="31"/>
  <c r="J58" i="32"/>
  <c r="J29" i="30" s="1"/>
  <c r="K31" i="31"/>
  <c r="K60" i="32"/>
  <c r="K31" i="30" s="1"/>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comments2.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<sst xmlns="http://schemas.openxmlformats.org/spreadsheetml/2006/main" count="1771" uniqueCount="259">
  <si>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</si>
  <si>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</si>
  <si>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</si>
  <si>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</si>
  <si>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</si>
  <si>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</si>
  <si>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</si>
  <si>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</si>
  <si>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</si>
  <si>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</si>
  <si>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</si>
  <si>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</si>
  <si>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</si>
  <si>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</si>
  <si>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</si>
  <si>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</si>
  <si>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</si>
  <si>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</si>
  <si>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</si>
  <si>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</si>
  <si>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</si>
  <si>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</si>
  <si>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</si>
  <si>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</si>
  <si>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</si>
  <si>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</si>
  <si>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</si>
  <si>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</si>
  <si>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</si>
  <si>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</si>
  <si>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</si>
  <si>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</si>
  <si>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</si>
  <si>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</si>
  <si>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</si>
  <si>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</si>
  <si>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</si>
  <si>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</si>
  <si>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</si>
  <si>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</si>
  <si>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</si>
  <si>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</si>
  <si>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</si>
  <si>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</si>
  <si>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</si>
  <si>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</si>
  <si>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</si>
  <si>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</si>
  <si>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</si>
  <si>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</si>
  <si>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</si>
  <si>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</si>
  <si>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</si>
  <si>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</si>
  <si>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</si>
  <si>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</si>
  <si>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</si>
  <si>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</si>
  <si>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</si>
  <si>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</si>
  <si>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</si>
  <si>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</si>
  <si>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</si>
  <si>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</si>
  <si>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</si>
  <si>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</si>
  <si>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</si>
  <si>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</si>
  <si>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</si>
  <si>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</si>
  <si>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</si>
  <si>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</si>
  <si>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</si>
  <si>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</si>
  <si>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</si>
  <si>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</si>
  <si>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</si>
  <si>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</si>
  <si>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</si>
  <si>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</si>
  <si>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</si>
  <si>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</si>
  <si>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</si>
  <si>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</si>
  <si>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</si>
  <si>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</si>
  <si>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</si>
  <si>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</si>
  <si>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</si>
  <si>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</si>
  <si>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</si>
  <si>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</si>
  <si>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</si>
  <si>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</si>
  <si>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</si>
  <si>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</si>
  <si>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</si>
  <si>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</si>
  <si>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</si>
  <si>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</si>
  <si>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</si>
  <si>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</si>
  <si>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</si>
  <si>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</si>
  <si>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</si>
  <si>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</si>
  <si>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</si>
  <si>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</si>
  <si>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</si>
  <si>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</si>
  <si>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</si>
  <si>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</si>
  <si>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</si>
  <si>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</si>
  <si>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</si>
  <si>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</si>
  <si>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</si>
  <si>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</si>
  <si>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</si>
  <si>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</si>
  <si>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</si>
  <si>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</si>
  <si>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</si>
  <si>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</si>
  <si>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</si>
  <si>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</si>
  <si>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</si>
  <si>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</si>
  <si>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</si>
  <si>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</si>
  <si>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</si>
  <si>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</si>
  <si>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</si>
  <si>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</si>
  <si>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</si>
  <si>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</si>
  <si>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</si>
  <si>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</si>
  <si>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</si>
  <si>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</si>
  <si>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</si>
  <si>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</si>
  <si>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</si>
  <si>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</si>
  <si>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</si>
  <si>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</si>
  <si>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</si>
  <si>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</si>
  <si>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</si>
  <si>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</si>
  <si>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</si>
  <si>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</si>
  <si>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</si>
  <si>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</si>
  <si>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</si>
  <si>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</si>
  <si>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</si>
  <si>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</si>
  <si>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</si>
  <si>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</si>
  <si>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</si>
  <si>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</si>
  <si>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</si>
  <si>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</si>
  <si>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</si>
  <si>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</si>
  <si>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</si>
  <si>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</si>
  <si>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</si>
  <si>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</si>
  <si>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</si>
  <si>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</si>
  <si>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</si>
  <si>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</si>
  <si>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</si>
  <si>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</si>
  <si>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</si>
  <si>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</si>
  <si>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</si>
  <si>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</si>
  <si>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</si>
  <si>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</si>
  <si>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</si>
  <si>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</si>
  <si>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</si>
  <si>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</si>
  <si>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</si>
  <si>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</si>
  <si>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</si>
  <si>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</si>
  <si>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Active_Substance_Input_Parameters</t>
  </si>
  <si>
    <t>Output EU marinas</t>
  </si>
  <si>
    <t>OECD_Marina_Calculations</t>
  </si>
  <si>
    <t>Output_Regulatory Marinas</t>
  </si>
  <si>
    <t>EU_Marinas_Scenario_Calculations</t>
  </si>
  <si>
    <t xml:space="preserve">Σ PEC:PNEC SW inside marina 
</t>
  </si>
  <si>
    <t>Σ PEC:PNEC
SW
surrounding marina</t>
  </si>
  <si>
    <t>Σ PEC:PNEC
Sed
surrounding marina</t>
  </si>
  <si>
    <t xml:space="preserve">Σ PEC:PNEC
SW
inside marina
</t>
  </si>
  <si>
    <t xml:space="preserve">Σ PEC:PNEC
Sed
inside marina
</t>
  </si>
  <si>
    <t>Regulatory Marinas Risk Characterisation</t>
  </si>
  <si>
    <t xml:space="preserve">PNECsw Inside Marina (µg/l)
</t>
  </si>
  <si>
    <t xml:space="preserve">PNECsed Inside Marina (µg/g dw)
</t>
  </si>
  <si>
    <t xml:space="preserve">PNECsw Surrounding Marina (µg/l)
</t>
  </si>
  <si>
    <t xml:space="preserve">PNECsed Surrounding Marina (µg/g dw)
</t>
  </si>
  <si>
    <t>PNECsed Surrounding Marina (µg/g dw)</t>
  </si>
  <si>
    <t>PNECsw Surrounding Marina (µg/l)</t>
  </si>
  <si>
    <t xml:space="preserve">PECsed inside marina
susp. 
(average, ug/g dw)
</t>
  </si>
  <si>
    <t xml:space="preserve">PECsed surrounding marina
susp. 
(average, ug/g dw)
</t>
  </si>
  <si>
    <t xml:space="preserve">PEC:PNEC 
SW 
inside marina 
</t>
  </si>
  <si>
    <t xml:space="preserve">PEC:PNEC
Sed 
inside marina 
</t>
  </si>
  <si>
    <t xml:space="preserve">PEC:PNEC
SW surrounding marina 
</t>
  </si>
  <si>
    <t xml:space="preserve">PEC:PNEC
Sed surrounding marina 
</t>
  </si>
  <si>
    <t xml:space="preserve">PEC:PNEC Susp. inside marina 
</t>
  </si>
  <si>
    <t xml:space="preserve">PEC:PNEC SW surrounding marina 
</t>
  </si>
  <si>
    <t xml:space="preserve">PEC:PNEC Susp. surrounding marina
</t>
  </si>
  <si>
    <t xml:space="preserve">Σ PEC:PNEC Susp.
inside marina 
</t>
  </si>
  <si>
    <t xml:space="preserve">Σ PEC:PNEC Susp.
surrounding marina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</si>
  <si>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</si>
  <si>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</si>
  <si>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</si>
  <si>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</si>
  <si>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
Σ PEC:PNEC SW surrounding marina 
</t>
  </si>
  <si>
    <t>Freshwater calculator tool</t>
  </si>
  <si>
    <r>
      <rPr>
        <b/>
        <sz val="10"/>
        <color theme="1"/>
        <rFont val="Verdana"/>
        <family val="2"/>
      </rPr>
      <t>Reference document:</t>
    </r>
    <r>
      <rPr>
        <sz val="10"/>
        <color theme="1"/>
        <rFont val="Verdana"/>
        <family val="2"/>
      </rPr>
      <t xml:space="preserve"> </t>
    </r>
  </si>
  <si>
    <t>Created; based on PT21_PEC_Marine_Tool_Copper_AND_Thiocyanate_v1.0.xlsx. 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</si>
  <si>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</si>
  <si>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</si>
  <si>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</si>
  <si>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</si>
  <si>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</si>
  <si>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</si>
  <si>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Zineb</t>
  </si>
  <si>
    <t>DIDT</t>
  </si>
  <si>
    <t>Zineb and DIDT</t>
  </si>
  <si>
    <t>Metabolite</t>
  </si>
  <si>
    <t>Draft 2.0</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</si>
  <si>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</si>
  <si>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</si>
  <si>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</si>
  <si>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</si>
  <si>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</si>
  <si>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</si>
  <si>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</si>
  <si>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</si>
  <si>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</si>
  <si>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</si>
  <si>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</si>
  <si>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Do not alter; enter this parameter only in tab Z_User_Input</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</si>
  <si>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</si>
  <si>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</si>
  <si>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</si>
  <si>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</si>
  <si>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</si>
  <si>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</si>
  <si>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in the Tab Z+D Output Summary the references to the regulatory marina PNECs are corrected and references to 90th percentile, max and min are corrected; in the Z+D Output EU Marinas Tab the 90th percentile results are place above the Max outcomes</t>
  </si>
  <si>
    <t>Final 1.1</t>
  </si>
  <si>
    <t>Version Final 1.1</t>
  </si>
  <si>
    <t>DIDT output statistics corrected to report DIDT values (original reported copper values). No underlying calculations altered.
Regulatory marina calculations corrected to reflect raw data used 75 (Siwss) and 218 (NL) boats so no correction needed.  No other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</si>
</sst>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3">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7" fillId="7" borderId="0">
      <alignment horizontal="center"/>
    </xf>
    <xf numFmtId="0" fontId="18" fillId="8" borderId="0">
      <alignment horizontal="center" vertical="center" wrapText="1"/>
    </xf>
    <xf numFmtId="0" fontId="30" fillId="8" borderId="0">
      <alignment horizontal="center" vertical="center" wrapText="1"/>
    </xf>
    <xf numFmtId="0" fontId="19" fillId="11" borderId="0">
      <alignment horizontal="center" vertical="center"/>
    </xf>
    <xf numFmtId="0" fontId="5" fillId="9" borderId="6">
      <alignment horizontal="left" vertical="center"/>
    </xf>
    <xf numFmtId="2" fontId="5" fillId="10" borderId="18">
      <alignment horizontal="center" vertical="center"/>
    </xf>
    <xf numFmtId="0" fontId="18" fillId="12" borderId="0">
      <alignment horizontal="center" vertical="center"/>
    </xf>
    <xf numFmtId="0" fontId="18" fillId="13" borderId="0">
      <alignment horizontal="center" vertical="center" wrapText="1"/>
    </xf>
    <xf numFmtId="0" fontId="1" fillId="0" borderId="0"/>
    <xf numFmtId="0" fontId="27" fillId="0" borderId="1" applyNumberFormat="0" applyFill="0" applyAlignment="0" applyProtection="0"/>
    <xf numFmtId="0" fontId="19" fillId="14" borderId="0" applyAlignment="0"/>
    <xf numFmtId="0" fontId="28" fillId="15" borderId="0">
      <alignment horizontal="center" vertical="center" wrapText="1"/>
    </xf>
    <xf numFmtId="0" fontId="31" fillId="17" borderId="0" applyNumberFormat="0" applyBorder="0" applyProtection="0">
      <alignment vertical="center"/>
    </xf>
  </cellStyleXfs>
  <cellXfs count="198">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18" fillId="8" borderId="0" xfId="19">
      <alignment horizontal="center" vertical="center" wrapText="1"/>
    </xf>
    <xf numFmtId="0" fontId="30" fillId="8" borderId="0" xfId="20">
      <alignment horizontal="center" vertical="center" wrapText="1"/>
    </xf>
    <xf numFmtId="0" fontId="30" fillId="8" borderId="0" xfId="20" applyBorder="1">
      <alignment horizontal="center" vertical="center" wrapText="1"/>
    </xf>
    <xf numFmtId="0" fontId="30" fillId="8" borderId="8" xfId="20" applyBorder="1">
      <alignment horizontal="center" vertical="center" wrapText="1"/>
    </xf>
    <xf numFmtId="0" fontId="0" fillId="5" borderId="0" xfId="0" applyFill="1" applyBorder="1"/>
    <xf numFmtId="0" fontId="0" fillId="5" borderId="8" xfId="0" applyFill="1" applyBorder="1"/>
    <xf numFmtId="0" fontId="19" fillId="11" borderId="0" xfId="21">
      <alignment horizontal="center" vertical="center"/>
    </xf>
    <xf numFmtId="0" fontId="0" fillId="8" borderId="0" xfId="0" applyFill="1" applyBorder="1" applyAlignment="1" applyProtection="1">
      <alignment vertical="center"/>
      <protection locked="0"/>
    </xf>
    <xf numFmtId="0" fontId="0" fillId="5" borderId="0" xfId="0" applyFill="1" applyAlignment="1">
      <alignment wrapText="1"/>
    </xf>
    <xf numFmtId="0" fontId="22"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xf numFmtId="0" fontId="22" fillId="5" borderId="0" xfId="0" applyFont="1" applyFill="1" applyBorder="1" applyAlignment="1">
      <alignment horizontal="center"/>
    </xf>
    <xf numFmtId="0" fontId="22" fillId="5" borderId="0" xfId="0" applyFont="1" applyFill="1" applyBorder="1" applyAlignment="1">
      <alignment horizontal="center" vertical="center"/>
    </xf>
    <xf numFmtId="0" fontId="25"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5"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0" fillId="7" borderId="12" xfId="0" applyFont="1" applyFill="1" applyBorder="1" applyAlignment="1" applyProtection="1">
      <alignment vertical="center"/>
      <protection locked="0"/>
    </xf>
    <xf numFmtId="0" fontId="20" fillId="7" borderId="13" xfId="0" applyFont="1" applyFill="1" applyBorder="1" applyAlignment="1" applyProtection="1">
      <alignment vertical="center"/>
      <protection locked="0"/>
    </xf>
    <xf numFmtId="0" fontId="20"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6" fillId="5" borderId="0" xfId="0" applyFont="1" applyFill="1"/>
    <xf numFmtId="0" fontId="11" fillId="5" borderId="1" xfId="12" applyFill="1" applyAlignment="1">
      <alignment horizontal="left"/>
    </xf>
    <xf numFmtId="0" fontId="2" fillId="5" borderId="2" xfId="2" applyFill="1" applyAlignment="1">
      <alignment horizontal="left"/>
    </xf>
    <xf numFmtId="0" fontId="30" fillId="5" borderId="0" xfId="20" applyFill="1" applyAlignment="1">
      <alignment horizontal="left" vertical="center" wrapText="1"/>
    </xf>
    <xf numFmtId="0" fontId="5" fillId="0" borderId="0" xfId="8"/>
    <xf numFmtId="0" fontId="13" fillId="5" borderId="0" xfId="17" applyFill="1"/>
    <xf numFmtId="0" fontId="18" fillId="12" borderId="0" xfId="24">
      <alignment horizontal="center" vertical="center"/>
    </xf>
    <xf numFmtId="11" fontId="18" fillId="8" borderId="0" xfId="19" applyNumberFormat="1">
      <alignment horizontal="center" vertical="center" wrapText="1"/>
    </xf>
    <xf numFmtId="0" fontId="19" fillId="11" borderId="0" xfId="21" applyAlignment="1">
      <alignment horizontal="right"/>
    </xf>
    <xf numFmtId="0" fontId="28" fillId="15" borderId="0" xfId="29">
      <alignment horizontal="center" vertical="center" wrapText="1"/>
    </xf>
    <xf numFmtId="0" fontId="0" fillId="12" borderId="0" xfId="24" applyFont="1">
      <alignment horizontal="center" vertical="center"/>
    </xf>
    <xf numFmtId="0" fontId="29" fillId="5" borderId="0" xfId="0" applyFont="1" applyAlignment="1"/>
    <xf numFmtId="0" fontId="26" fillId="5" borderId="0" xfId="0" applyFont="1"/>
    <xf numFmtId="0" fontId="29" fillId="5" borderId="0" xfId="0" applyFont="1"/>
    <xf numFmtId="0" fontId="0" fillId="5" borderId="6" xfId="0" applyBorder="1"/>
    <xf numFmtId="0" fontId="29" fillId="5" borderId="0" xfId="0" applyFont="1" applyAlignment="1">
      <alignment horizontal="center"/>
    </xf>
    <xf numFmtId="0" fontId="0" fillId="5" borderId="0" xfId="0"/>
    <xf numFmtId="0" fontId="0" fillId="16" borderId="0" xfId="0" applyFill="1"/>
    <xf numFmtId="0" fontId="29" fillId="16" borderId="0" xfId="0" applyFont="1" applyFill="1"/>
    <xf numFmtId="0" fontId="29" fillId="5" borderId="0" xfId="0" applyFont="1" applyFill="1" applyAlignment="1"/>
    <xf numFmtId="0" fontId="19" fillId="5" borderId="0" xfId="21" applyFill="1" applyBorder="1">
      <alignment horizontal="center" vertical="center"/>
    </xf>
    <xf numFmtId="0" fontId="19" fillId="5" borderId="0" xfId="21" applyFill="1" applyBorder="1" applyAlignment="1">
      <alignment horizontal="right"/>
    </xf>
    <xf numFmtId="0" fontId="19" fillId="5" borderId="0" xfId="21" applyFill="1" applyBorder="1" applyAlignment="1">
      <alignment horizontal="center"/>
    </xf>
    <xf numFmtId="0" fontId="0" fillId="5" borderId="0" xfId="0" applyBorder="1"/>
    <xf numFmtId="0" fontId="0" fillId="5" borderId="0" xfId="0" applyFont="1" applyBorder="1"/>
    <xf numFmtId="0" fontId="0" fillId="5" borderId="0" xfId="0" applyBorder="1" applyAlignment="1">
      <alignment wrapText="1"/>
    </xf>
    <xf numFmtId="11" fontId="18" fillId="13" borderId="0" xfId="25" applyNumberFormat="1">
      <alignment horizontal="center" vertical="center" wrapText="1"/>
    </xf>
    <xf numFmtId="11" fontId="19" fillId="11" borderId="0" xfId="21" applyNumberFormat="1" applyAlignment="1">
      <alignment horizontal="center" vertical="center"/>
    </xf>
    <xf numFmtId="0" fontId="18" fillId="8" borderId="0" xfId="19" applyBorder="1">
      <alignment horizontal="center" vertical="center" wrapText="1"/>
    </xf>
    <xf numFmtId="11" fontId="18" fillId="8" borderId="0" xfId="19" applyNumberFormat="1" applyBorder="1">
      <alignment horizontal="center" vertical="center" wrapText="1"/>
    </xf>
    <xf numFmtId="11" fontId="19" fillId="11" borderId="0" xfId="21" applyNumberFormat="1" applyBorder="1" applyAlignment="1">
      <alignment horizontal="center"/>
    </xf>
    <xf numFmtId="0" fontId="0" fillId="16" borderId="0" xfId="0" applyFill="1" applyBorder="1"/>
    <xf numFmtId="0" fontId="0" fillId="16" borderId="0" xfId="0" applyFill="1" applyBorder="1" applyAlignment="1">
      <alignment wrapText="1"/>
    </xf>
    <xf numFmtId="0" fontId="26"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9" fillId="11" borderId="0" xfId="21" applyAlignment="1">
      <alignment horizontal="right"/>
    </xf>
    <xf numFmtId="0" fontId="0" fillId="5" borderId="0" xfId="0"/>
    <xf numFmtId="0" fontId="0" fillId="5" borderId="0" xfId="0"/>
    <xf numFmtId="0" fontId="17" fillId="7" borderId="0" xfId="18" applyAlignment="1"/>
    <xf numFmtId="14" fontId="0" fillId="5" borderId="0" xfId="0" applyNumberFormat="1"/>
    <xf numFmtId="0" fontId="0" fillId="5" borderId="0" xfId="0"/>
    <xf numFmtId="0" fontId="30" fillId="8" borderId="0" xfId="20" applyAlignment="1">
      <alignment horizontal="left" vertical="center" wrapText="1"/>
    </xf>
    <xf numFmtId="0" fontId="30"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8" fillId="8" borderId="0" xfId="19" applyAlignment="1">
      <alignment horizontal="left" vertical="center" wrapText="1"/>
    </xf>
    <xf numFmtId="0" fontId="30" fillId="8" borderId="0" xfId="20" applyFont="1">
      <alignment horizontal="center" vertical="center" wrapText="1"/>
    </xf>
    <xf numFmtId="0" fontId="30" fillId="8" borderId="0" xfId="20" applyFont="1" applyAlignment="1">
      <alignment horizontal="left" vertical="center" wrapText="1"/>
    </xf>
    <xf numFmtId="0" fontId="18" fillId="8" borderId="0" xfId="19" applyFont="1" applyAlignment="1">
      <alignment horizontal="left" vertical="center" wrapText="1"/>
    </xf>
    <xf numFmtId="11" fontId="18" fillId="12" borderId="0" xfId="24" applyNumberFormat="1" applyFont="1">
      <alignment horizontal="center" vertical="center"/>
    </xf>
    <xf numFmtId="11" fontId="18" fillId="8" borderId="0" xfId="19" applyNumberFormat="1" applyFont="1">
      <alignment horizontal="center" vertical="center" wrapText="1"/>
    </xf>
    <xf numFmtId="0" fontId="30" fillId="8" borderId="0" xfId="20" applyBorder="1" applyAlignment="1">
      <alignment horizontal="left" vertical="center" wrapText="1"/>
    </xf>
    <xf numFmtId="0" fontId="18" fillId="8" borderId="0" xfId="19" applyBorder="1" applyAlignment="1">
      <alignment horizontal="left" vertical="center" wrapText="1"/>
    </xf>
    <xf numFmtId="0" fontId="30" fillId="8" borderId="0" xfId="20" applyAlignment="1">
      <alignment horizontal="center" vertical="center" wrapText="1"/>
    </xf>
    <xf numFmtId="0" fontId="18" fillId="8" borderId="0" xfId="19" applyAlignment="1">
      <alignment horizontal="left" vertical="center"/>
    </xf>
    <xf numFmtId="0" fontId="0" fillId="5" borderId="0" xfId="0" applyBorder="1" applyAlignment="1">
      <alignment horizontal="left"/>
    </xf>
    <xf numFmtId="11" fontId="0" fillId="5" borderId="0" xfId="0" applyNumberFormat="1" applyBorder="1"/>
    <xf numFmtId="11" fontId="18" fillId="8" borderId="0" xfId="19" applyNumberFormat="1" applyFill="1" applyBorder="1">
      <alignment horizontal="center" vertical="center" wrapText="1"/>
    </xf>
    <xf numFmtId="0" fontId="0" fillId="0" borderId="0" xfId="8" applyFont="1"/>
    <xf numFmtId="0" fontId="10" fillId="5" borderId="0" xfId="14" quotePrefix="1" applyFill="1"/>
    <xf numFmtId="0" fontId="11" fillId="5" borderId="1" xfId="12" applyFill="1" applyAlignment="1">
      <alignment horizontal="left"/>
    </xf>
    <xf numFmtId="0" fontId="26" fillId="5" borderId="0" xfId="0" applyFont="1" applyAlignment="1">
      <alignment horizontal="left"/>
    </xf>
    <xf numFmtId="0" fontId="0" fillId="5" borderId="0" xfId="0" applyAlignment="1"/>
    <xf numFmtId="0" fontId="30" fillId="8" borderId="0" xfId="20" applyAlignment="1">
      <alignment horizontal="left" vertical="center" wrapText="1"/>
    </xf>
    <xf numFmtId="0" fontId="30" fillId="8" borderId="0" xfId="20" applyAlignment="1">
      <alignment horizontal="left" vertical="center"/>
    </xf>
    <xf numFmtId="0" fontId="19" fillId="11" borderId="0" xfId="21" applyAlignment="1">
      <alignment horizontal="right"/>
    </xf>
    <xf numFmtId="0" fontId="2" fillId="5" borderId="2" xfId="2" applyFill="1" applyAlignment="1">
      <alignment horizontal="left"/>
    </xf>
    <xf numFmtId="0" fontId="18" fillId="8" borderId="0" xfId="19">
      <alignment horizontal="center" vertical="center" wrapText="1"/>
    </xf>
    <xf numFmtId="0" fontId="18" fillId="8" borderId="0" xfId="19" applyFont="1" applyAlignment="1">
      <alignment horizontal="left" vertical="center"/>
    </xf>
    <xf numFmtId="0" fontId="30" fillId="8" borderId="0" xfId="20" applyBorder="1" applyAlignment="1">
      <alignment vertical="center" wrapText="1"/>
    </xf>
    <xf numFmtId="0" fontId="18" fillId="8" borderId="0" xfId="19" applyAlignment="1">
      <alignment vertical="center" wrapText="1"/>
    </xf>
    <xf numFmtId="0" fontId="18" fillId="8" borderId="0" xfId="19" applyBorder="1" applyAlignment="1">
      <alignment horizontal="left" vertical="center"/>
    </xf>
    <xf numFmtId="11" fontId="18" fillId="8" borderId="0" xfId="19" applyNumberFormat="1" applyFont="1" applyAlignment="1">
      <alignment horizontal="center" vertical="center"/>
    </xf>
    <xf numFmtId="0" fontId="18" fillId="12" borderId="0" xfId="24" applyNumberFormat="1">
      <alignment horizontal="center" vertical="center"/>
    </xf>
    <xf numFmtId="0" fontId="19" fillId="11" borderId="0" xfId="21" applyAlignment="1">
      <alignment horizontal="right" vertical="center" wrapText="1"/>
    </xf>
    <xf numFmtId="0" fontId="19" fillId="11" borderId="0" xfId="21" applyAlignment="1">
      <alignment horizontal="left" vertical="center" wrapText="1"/>
    </xf>
    <xf numFmtId="11" fontId="19" fillId="11" borderId="0" xfId="21" applyNumberFormat="1">
      <alignment horizontal="center" vertical="center"/>
    </xf>
    <xf numFmtId="0" fontId="0" fillId="5" borderId="0" xfId="0" applyAlignment="1">
      <alignment horizontal="center"/>
    </xf>
    <xf numFmtId="0" fontId="0" fillId="5" borderId="0" xfId="0" applyFill="1" applyAlignment="1">
      <alignment horizontal="center"/>
    </xf>
    <xf numFmtId="0" fontId="18" fillId="8" borderId="0" xfId="19" applyBorder="1" applyAlignment="1">
      <alignment horizontal="center" vertical="center" wrapText="1"/>
    </xf>
    <xf numFmtId="0" fontId="19" fillId="5" borderId="0" xfId="21" applyFill="1" applyBorder="1" applyAlignment="1">
      <alignment horizontal="center" vertical="center"/>
    </xf>
    <xf numFmtId="0" fontId="0" fillId="5" borderId="0" xfId="0" applyFill="1" applyBorder="1" applyAlignment="1">
      <alignment horizont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26" fillId="5" borderId="0" xfId="0" applyFont="1" applyAlignment="1">
      <alignment horizontal="right"/>
    </xf>
    <xf numFmtId="0" fontId="0" fillId="5" borderId="6" xfId="0" applyBorder="1" applyAlignment="1">
      <alignment vertical="center"/>
    </xf>
    <xf numFmtId="11" fontId="18" fillId="12" borderId="0" xfId="24" applyNumberFormat="1">
      <alignment horizontal="center" vertical="center"/>
    </xf>
    <xf numFmtId="0" fontId="0" fillId="5" borderId="9" xfId="0" applyFill="1" applyBorder="1" applyAlignment="1">
      <alignment vertical="center"/>
    </xf>
    <xf numFmtId="0" fontId="26" fillId="5" borderId="0" xfId="0" applyFont="1" applyFill="1" applyAlignment="1">
      <alignment vertical="center"/>
    </xf>
    <xf numFmtId="0" fontId="30" fillId="8" borderId="0" xfId="20" applyAlignment="1">
      <alignment horizontal="right" vertical="center"/>
    </xf>
    <xf numFmtId="0" fontId="30" fillId="8" borderId="0" xfId="20" applyAlignment="1">
      <alignment horizontal="center" vertical="center"/>
    </xf>
    <xf numFmtId="0" fontId="30" fillId="8" borderId="7" xfId="20" applyBorder="1" applyAlignment="1">
      <alignment horizontal="left" vertical="center" wrapText="1"/>
    </xf>
    <xf numFmtId="0" fontId="31" fillId="17" borderId="0" xfId="30" applyAlignment="1">
      <alignment horizontal="left"/>
    </xf>
    <xf numFmtId="0" fontId="0" fillId="5" borderId="0" xfId="0" applyAlignment="1">
      <alignment vertical="top"/>
    </xf>
    <xf numFmtId="14" fontId="0" fillId="5" borderId="0" xfId="0" applyNumberFormat="1" applyAlignment="1">
      <alignment vertical="top"/>
    </xf>
    <xf numFmtId="0" fontId="11" fillId="5" borderId="1" xfId="12" applyFill="1"/>
    <xf numFmtId="0" fontId="18" fillId="12" borderId="0" xfId="24" applyAlignment="1">
      <alignment vertical="center"/>
    </xf>
    <xf numFmtId="0" fontId="13" fillId="5" borderId="0" xfId="17" applyFill="1" applyAlignment="1">
      <alignment vertical="center" wrapText="1"/>
    </xf>
    <xf numFmtId="0" fontId="31" fillId="17" borderId="0" xfId="30" applyAlignment="1">
      <alignment horizontal="left" vertical="center"/>
    </xf>
    <xf numFmtId="2" fontId="0" fillId="5" borderId="0" xfId="0" applyNumberFormat="1"/>
    <xf numFmtId="11" fontId="0" fillId="5" borderId="0" xfId="0" applyNumberFormat="1"/>
    <xf numFmtId="0" fontId="0" fillId="5" borderId="0" xfId="0" applyAlignment="1">
      <alignment vertical="center"/>
    </xf>
    <xf numFmtId="14" fontId="0" fillId="5" borderId="0" xfId="0" applyNumberFormat="1"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wrapText="1"/>
    </xf>
    <xf numFmtId="0" fontId="11" fillId="5" borderId="1" xfId="1" applyFill="1"/>
    <xf numFmtId="0" fontId="0" fillId="5" borderId="0" xfId="0" applyAlignment="1">
      <alignment horizontal="left" vertical="top" wrapText="1"/>
    </xf>
    <xf numFmtId="0" fontId="0" fillId="5" borderId="0" xfId="0" applyAlignment="1">
      <alignment horizontal="left" vertical="top"/>
    </xf>
    <xf numFmtId="0" fontId="0" fillId="5" borderId="0" xfId="0" applyAlignment="1">
      <alignment horizontal="left" vertical="center" wrapText="1"/>
    </xf>
    <xf numFmtId="0" fontId="11" fillId="5" borderId="1" xfId="12" applyFill="1" applyAlignment="1">
      <alignment horizontal="left" vertical="center" wrapText="1"/>
    </xf>
    <xf numFmtId="0" fontId="0" fillId="5" borderId="0" xfId="0" applyFill="1" applyAlignment="1">
      <alignment horizontal="left" vertical="center" wrapText="1"/>
    </xf>
    <xf numFmtId="0" fontId="11" fillId="5" borderId="1" xfId="1" applyFill="1" applyAlignment="1">
      <alignment horizontal="left" vertical="center" wrapText="1"/>
    </xf>
    <xf numFmtId="0" fontId="11" fillId="5" borderId="1" xfId="12" applyFill="1" applyAlignment="1">
      <alignment horizontal="left"/>
    </xf>
    <xf numFmtId="0" fontId="17" fillId="7" borderId="7" xfId="18" applyBorder="1" applyAlignment="1">
      <alignment horizontal="left"/>
    </xf>
    <xf numFmtId="0" fontId="17" fillId="7" borderId="0" xfId="18" applyBorder="1" applyAlignment="1">
      <alignment horizontal="left"/>
    </xf>
    <xf numFmtId="0" fontId="17" fillId="7" borderId="8" xfId="18" applyBorder="1" applyAlignment="1">
      <alignment horizontal="left"/>
    </xf>
    <xf numFmtId="0" fontId="2" fillId="0" borderId="2" xfId="2" applyAlignment="1">
      <alignment horizontal="left"/>
    </xf>
    <xf numFmtId="0" fontId="0" fillId="5" borderId="6" xfId="0" applyBorder="1" applyAlignment="1">
      <alignment horizontal="left" vertical="center"/>
    </xf>
    <xf numFmtId="0" fontId="26" fillId="5" borderId="0" xfId="0" applyFont="1" applyAlignment="1">
      <alignment horizontal="left"/>
    </xf>
    <xf numFmtId="0" fontId="29"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0" fillId="5" borderId="6" xfId="0" applyBorder="1"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19" fillId="11" borderId="0" xfId="21" applyBorder="1" applyAlignment="1">
      <alignment horizontal="right"/>
    </xf>
    <xf numFmtId="0" fontId="11" fillId="5" borderId="1" xfId="1" applyFill="1" applyAlignment="1">
      <alignment horizontal="left" wrapText="1"/>
    </xf>
    <xf numFmtId="0" fontId="30" fillId="8" borderId="0" xfId="20" applyAlignment="1">
      <alignment horizontal="left" vertical="center"/>
    </xf>
    <xf numFmtId="0" fontId="17" fillId="7" borderId="0" xfId="18" applyAlignment="1">
      <alignment horizontal="left"/>
    </xf>
    <xf numFmtId="0" fontId="17" fillId="7" borderId="12" xfId="18" applyBorder="1" applyAlignment="1">
      <alignment horizontal="left"/>
    </xf>
    <xf numFmtId="0" fontId="17" fillId="7" borderId="13" xfId="18" applyBorder="1" applyAlignment="1">
      <alignment horizontal="left"/>
    </xf>
    <xf numFmtId="0" fontId="11" fillId="5" borderId="1" xfId="1" applyFill="1" applyAlignment="1">
      <alignment wrapText="1"/>
    </xf>
    <xf numFmtId="0" fontId="19" fillId="11" borderId="0" xfId="21" applyAlignment="1">
      <alignment horizontal="right"/>
    </xf>
    <xf numFmtId="0" fontId="2" fillId="5" borderId="2" xfId="2" applyFill="1" applyAlignment="1">
      <alignment horizontal="left"/>
    </xf>
    <xf numFmtId="11" fontId="18" fillId="8" borderId="0" xfId="19" applyNumberFormat="1">
      <alignment horizontal="center" vertical="center" wrapText="1"/>
    </xf>
    <xf numFmtId="11" fontId="18"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21">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475" y="6410325"/>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92475" y="6877050"/>
          <a:ext cx="2228850" cy="888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8</xdr:row>
      <xdr:rowOff>0</xdr:rowOff>
    </xdr:from>
    <xdr:to>
      <xdr:col>8</xdr:col>
      <xdr:colOff>370374</xdr:colOff>
      <xdr:row>40</xdr:row>
      <xdr:rowOff>104083</xdr:rowOff>
    </xdr:to>
    <xdr:pic>
      <xdr:nvPicPr>
        <xdr:cNvPr id="3" name="Picture 2"/>
        <xdr:cNvPicPr>
          <a:picLocks noChangeAspect="1"/>
        </xdr:cNvPicPr>
      </xdr:nvPicPr>
      <xdr:blipFill>
        <a:blip xmlns:r="http://schemas.openxmlformats.org/officeDocument/2006/relationships" r:embed="rId1"/>
        <a:stretch>
          <a:fillRect/>
        </a:stretch>
      </xdr:blipFill>
      <xdr:spPr>
        <a:xfrm>
          <a:off x="704850" y="1485900"/>
          <a:ext cx="8809524" cy="55428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7</xdr:row>
      <xdr:rowOff>142875</xdr:rowOff>
    </xdr:from>
    <xdr:to>
      <xdr:col>8</xdr:col>
      <xdr:colOff>160849</xdr:colOff>
      <xdr:row>40</xdr:row>
      <xdr:rowOff>46937</xdr:rowOff>
    </xdr:to>
    <xdr:pic>
      <xdr:nvPicPr>
        <xdr:cNvPr id="3" name="Picture 2"/>
        <xdr:cNvPicPr>
          <a:picLocks noChangeAspect="1"/>
        </xdr:cNvPicPr>
      </xdr:nvPicPr>
      <xdr:blipFill>
        <a:blip xmlns:r="http://schemas.openxmlformats.org/officeDocument/2006/relationships" r:embed="rId1"/>
        <a:stretch>
          <a:fillRect/>
        </a:stretch>
      </xdr:blipFill>
      <xdr:spPr>
        <a:xfrm>
          <a:off x="695325" y="1466850"/>
          <a:ext cx="8609524" cy="55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1:Z28"/>
  <sheetViews>
    <sheetView tabSelected="1" zoomScale="90" zoomScaleNormal="90" workbookViewId="0"/>
  </sheetViews>
  <sheetFormatPr defaultRowHeight="12.75" x14ac:dyDescent="0.2"/>
  <cols>
    <col min="1" max="1" width="9" style="91"/>
    <col min="2" max="3" width="19.5" style="146" customWidth="1"/>
    <col min="4" max="4" width="9" style="146"/>
    <col min="5" max="16384" width="9" style="91"/>
  </cols>
  <sheetData>
    <row r="1" spans="2:16" x14ac:dyDescent="0.2">
      <c r="B1" s="91"/>
      <c r="C1" s="91"/>
      <c r="D1" s="91"/>
    </row>
    <row r="2" spans="2:16" ht="21" customHeight="1" thickBot="1" x14ac:dyDescent="0.35">
      <c r="B2" s="159" t="s">
        <v>103</v>
      </c>
      <c r="C2" s="159"/>
      <c r="D2" s="159"/>
      <c r="E2" s="159"/>
      <c r="F2" s="159"/>
      <c r="G2" s="159"/>
      <c r="H2" s="159"/>
      <c r="I2" s="159"/>
      <c r="J2" s="159"/>
      <c r="K2" s="159"/>
      <c r="L2" s="159"/>
      <c r="M2" s="159"/>
      <c r="N2" s="159"/>
      <c r="O2" s="159"/>
    </row>
    <row r="3" spans="2:16" ht="13.5" thickTop="1" x14ac:dyDescent="0.2">
      <c r="B3" s="154" t="s">
        <v>257</v>
      </c>
      <c r="C3" s="91"/>
      <c r="D3" s="91"/>
    </row>
    <row r="4" spans="2:16" x14ac:dyDescent="0.2">
      <c r="B4" s="91" t="s">
        <v>234</v>
      </c>
      <c r="C4" s="91"/>
      <c r="D4" s="91"/>
    </row>
    <row r="5" spans="2:16" x14ac:dyDescent="0.2">
      <c r="B5" s="91" t="s">
        <v>223</v>
      </c>
      <c r="C5" s="91"/>
      <c r="D5" s="91"/>
    </row>
    <row r="6" spans="2:16" ht="80.099999999999994" customHeight="1" x14ac:dyDescent="0.2">
      <c r="B6" s="158" t="s">
        <v>102</v>
      </c>
      <c r="C6" s="158"/>
      <c r="D6" s="158"/>
      <c r="E6" s="158"/>
      <c r="F6" s="158"/>
      <c r="G6" s="158"/>
      <c r="H6" s="158"/>
      <c r="I6" s="158"/>
      <c r="J6" s="158"/>
      <c r="K6" s="158"/>
      <c r="L6" s="158"/>
      <c r="M6" s="158"/>
      <c r="N6" s="158"/>
      <c r="O6" s="158"/>
      <c r="P6" s="158"/>
    </row>
    <row r="7" spans="2:16" x14ac:dyDescent="0.2">
      <c r="B7" s="91"/>
      <c r="C7" s="91"/>
      <c r="D7" s="91"/>
    </row>
    <row r="8" spans="2:16" x14ac:dyDescent="0.2">
      <c r="B8" s="91"/>
      <c r="C8" s="91"/>
      <c r="D8" s="91"/>
    </row>
    <row r="9" spans="2:16" x14ac:dyDescent="0.2">
      <c r="B9" s="91"/>
      <c r="C9" s="91"/>
      <c r="D9" s="91"/>
    </row>
    <row r="10" spans="2:16" x14ac:dyDescent="0.2">
      <c r="B10" s="91" t="s">
        <v>224</v>
      </c>
      <c r="C10" s="91"/>
      <c r="D10" s="91"/>
    </row>
    <row r="11" spans="2:16" x14ac:dyDescent="0.2">
      <c r="B11" s="91" t="s">
        <v>7</v>
      </c>
      <c r="C11" s="91"/>
      <c r="D11" s="91"/>
    </row>
    <row r="12" spans="2:16" x14ac:dyDescent="0.2">
      <c r="B12" s="91" t="s">
        <v>5</v>
      </c>
      <c r="C12" s="91"/>
      <c r="D12" s="91"/>
    </row>
    <row r="13" spans="2:16" x14ac:dyDescent="0.2">
      <c r="B13" s="91"/>
      <c r="C13" s="91"/>
      <c r="D13" s="91"/>
    </row>
    <row r="14" spans="2:16" x14ac:dyDescent="0.2">
      <c r="B14" s="91"/>
      <c r="C14" s="91"/>
      <c r="D14" s="91"/>
    </row>
    <row r="15" spans="2:16" x14ac:dyDescent="0.2">
      <c r="B15" s="91" t="s">
        <v>6</v>
      </c>
      <c r="C15" s="91"/>
      <c r="D15" s="91"/>
    </row>
    <row r="16" spans="2:16" x14ac:dyDescent="0.2">
      <c r="B16" s="91"/>
      <c r="C16" s="91"/>
      <c r="D16" s="91"/>
    </row>
    <row r="17" spans="2:26" ht="30.75" customHeight="1" x14ac:dyDescent="0.2">
      <c r="B17" s="146" t="s">
        <v>77</v>
      </c>
      <c r="C17" s="147">
        <v>42921</v>
      </c>
      <c r="D17" s="160" t="s">
        <v>225</v>
      </c>
      <c r="E17" s="160"/>
      <c r="F17" s="160"/>
      <c r="G17" s="160"/>
      <c r="H17" s="160"/>
      <c r="I17" s="160"/>
      <c r="J17" s="160"/>
      <c r="K17" s="160"/>
      <c r="L17" s="160"/>
      <c r="M17" s="160"/>
      <c r="N17" s="160"/>
      <c r="O17" s="160"/>
      <c r="P17" s="160"/>
      <c r="Q17" s="160"/>
      <c r="R17" s="160"/>
      <c r="S17" s="160"/>
      <c r="T17" s="160"/>
      <c r="U17" s="160"/>
      <c r="V17" s="160"/>
      <c r="W17" s="160"/>
      <c r="X17" s="160"/>
      <c r="Y17" s="160"/>
      <c r="Z17" s="160"/>
    </row>
    <row r="18" spans="2:26" x14ac:dyDescent="0.2">
      <c r="B18" s="146" t="s">
        <v>236</v>
      </c>
      <c r="C18" s="147">
        <v>42930</v>
      </c>
      <c r="D18" s="161" t="s">
        <v>255</v>
      </c>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2:26" ht="27.95" customHeight="1" x14ac:dyDescent="0.2">
      <c r="B19" s="154" t="s">
        <v>237</v>
      </c>
      <c r="C19" s="155">
        <v>43006</v>
      </c>
      <c r="D19" s="162" t="s">
        <v>238</v>
      </c>
      <c r="E19" s="162"/>
      <c r="F19" s="162"/>
      <c r="G19" s="162"/>
      <c r="H19" s="162"/>
      <c r="I19" s="162"/>
      <c r="J19" s="162"/>
      <c r="K19" s="162"/>
      <c r="L19" s="162"/>
      <c r="M19" s="162"/>
      <c r="N19" s="162"/>
      <c r="O19" s="162"/>
      <c r="P19" s="162"/>
      <c r="Q19" s="162"/>
      <c r="R19" s="162"/>
      <c r="S19" s="162"/>
      <c r="T19" s="162"/>
      <c r="U19" s="162"/>
      <c r="V19" s="162"/>
      <c r="W19" s="162"/>
      <c r="X19" s="162"/>
      <c r="Y19" s="162"/>
      <c r="Z19" s="162"/>
    </row>
    <row r="20" spans="2:26" ht="28.5" customHeight="1" x14ac:dyDescent="0.2">
      <c r="B20" s="146" t="s">
        <v>256</v>
      </c>
      <c r="C20" s="147">
        <v>43021</v>
      </c>
      <c r="D20" s="162" t="s">
        <v>258</v>
      </c>
      <c r="E20" s="162"/>
      <c r="F20" s="162"/>
      <c r="G20" s="162"/>
      <c r="H20" s="162"/>
      <c r="I20" s="162"/>
      <c r="J20" s="162"/>
      <c r="K20" s="162"/>
      <c r="L20" s="162"/>
      <c r="M20" s="162"/>
      <c r="N20" s="162"/>
      <c r="O20" s="162"/>
      <c r="P20" s="162"/>
      <c r="Q20" s="162"/>
      <c r="R20" s="162"/>
      <c r="S20" s="162"/>
      <c r="T20" s="162"/>
      <c r="U20" s="162"/>
      <c r="V20" s="162"/>
      <c r="W20" s="162"/>
      <c r="X20" s="162"/>
      <c r="Y20" s="162"/>
      <c r="Z20" s="162"/>
    </row>
    <row r="21" spans="2:26" x14ac:dyDescent="0.2">
      <c r="D21" s="162"/>
      <c r="E21" s="162"/>
      <c r="F21" s="162"/>
      <c r="G21" s="162"/>
      <c r="H21" s="162"/>
      <c r="I21" s="162"/>
      <c r="J21" s="162"/>
      <c r="K21" s="162"/>
      <c r="L21" s="162"/>
      <c r="M21" s="162"/>
      <c r="N21" s="162"/>
      <c r="O21" s="162"/>
      <c r="P21" s="162"/>
      <c r="Q21" s="162"/>
      <c r="R21" s="162"/>
      <c r="S21" s="162"/>
      <c r="T21" s="162"/>
      <c r="U21" s="162"/>
      <c r="V21" s="162"/>
      <c r="W21" s="162"/>
      <c r="X21" s="162"/>
      <c r="Y21" s="162"/>
      <c r="Z21" s="162"/>
    </row>
    <row r="22" spans="2:26" x14ac:dyDescent="0.2">
      <c r="D22" s="162"/>
      <c r="E22" s="162"/>
      <c r="F22" s="162"/>
      <c r="G22" s="162"/>
      <c r="H22" s="162"/>
      <c r="I22" s="162"/>
      <c r="J22" s="162"/>
      <c r="K22" s="162"/>
      <c r="L22" s="162"/>
      <c r="M22" s="162"/>
      <c r="N22" s="162"/>
      <c r="O22" s="162"/>
      <c r="P22" s="162"/>
      <c r="Q22" s="162"/>
      <c r="R22" s="162"/>
      <c r="S22" s="162"/>
      <c r="T22" s="162"/>
      <c r="U22" s="162"/>
      <c r="V22" s="162"/>
      <c r="W22" s="162"/>
      <c r="X22" s="162"/>
      <c r="Y22" s="162"/>
      <c r="Z22" s="162"/>
    </row>
    <row r="23" spans="2:26" x14ac:dyDescent="0.2">
      <c r="D23" s="162"/>
      <c r="E23" s="162"/>
      <c r="F23" s="162"/>
      <c r="G23" s="162"/>
      <c r="H23" s="162"/>
      <c r="I23" s="162"/>
      <c r="J23" s="162"/>
      <c r="K23" s="162"/>
      <c r="L23" s="162"/>
      <c r="M23" s="162"/>
      <c r="N23" s="162"/>
      <c r="O23" s="162"/>
      <c r="P23" s="162"/>
      <c r="Q23" s="162"/>
      <c r="R23" s="162"/>
      <c r="S23" s="162"/>
      <c r="T23" s="162"/>
      <c r="U23" s="162"/>
      <c r="V23" s="162"/>
      <c r="W23" s="162"/>
      <c r="X23" s="162"/>
      <c r="Y23" s="162"/>
      <c r="Z23" s="162"/>
    </row>
    <row r="24" spans="2:26" x14ac:dyDescent="0.2">
      <c r="D24" s="162"/>
      <c r="E24" s="162"/>
      <c r="F24" s="162"/>
      <c r="G24" s="162"/>
      <c r="H24" s="162"/>
      <c r="I24" s="162"/>
      <c r="J24" s="162"/>
      <c r="K24" s="162"/>
      <c r="L24" s="162"/>
      <c r="M24" s="162"/>
      <c r="N24" s="162"/>
      <c r="O24" s="162"/>
      <c r="P24" s="162"/>
      <c r="Q24" s="162"/>
      <c r="R24" s="162"/>
      <c r="S24" s="162"/>
      <c r="T24" s="162"/>
      <c r="U24" s="162"/>
      <c r="V24" s="162"/>
      <c r="W24" s="162"/>
      <c r="X24" s="162"/>
      <c r="Y24" s="162"/>
      <c r="Z24" s="162"/>
    </row>
    <row r="25" spans="2:26" x14ac:dyDescent="0.2">
      <c r="D25" s="162"/>
      <c r="E25" s="162"/>
      <c r="F25" s="162"/>
      <c r="G25" s="162"/>
      <c r="H25" s="162"/>
      <c r="I25" s="162"/>
      <c r="J25" s="162"/>
      <c r="K25" s="162"/>
      <c r="L25" s="162"/>
      <c r="M25" s="162"/>
      <c r="N25" s="162"/>
      <c r="O25" s="162"/>
      <c r="P25" s="162"/>
      <c r="Q25" s="162"/>
      <c r="R25" s="162"/>
      <c r="S25" s="162"/>
      <c r="T25" s="162"/>
      <c r="U25" s="162"/>
      <c r="V25" s="162"/>
      <c r="W25" s="162"/>
      <c r="X25" s="162"/>
      <c r="Y25" s="162"/>
      <c r="Z25" s="162"/>
    </row>
    <row r="26" spans="2:26" x14ac:dyDescent="0.2">
      <c r="D26" s="162"/>
      <c r="E26" s="162"/>
      <c r="F26" s="162"/>
      <c r="G26" s="162"/>
      <c r="H26" s="162"/>
      <c r="I26" s="162"/>
      <c r="J26" s="162"/>
      <c r="K26" s="162"/>
      <c r="L26" s="162"/>
      <c r="M26" s="162"/>
      <c r="N26" s="162"/>
      <c r="O26" s="162"/>
      <c r="P26" s="162"/>
      <c r="Q26" s="162"/>
      <c r="R26" s="162"/>
      <c r="S26" s="162"/>
      <c r="T26" s="162"/>
      <c r="U26" s="162"/>
      <c r="V26" s="162"/>
      <c r="W26" s="162"/>
      <c r="X26" s="162"/>
      <c r="Y26" s="162"/>
      <c r="Z26" s="162"/>
    </row>
    <row r="27" spans="2:26" x14ac:dyDescent="0.2">
      <c r="D27" s="162"/>
      <c r="E27" s="162"/>
      <c r="F27" s="162"/>
      <c r="G27" s="162"/>
      <c r="H27" s="162"/>
      <c r="I27" s="162"/>
      <c r="J27" s="162"/>
      <c r="K27" s="162"/>
      <c r="L27" s="162"/>
      <c r="M27" s="162"/>
      <c r="N27" s="162"/>
      <c r="O27" s="162"/>
      <c r="P27" s="162"/>
      <c r="Q27" s="162"/>
      <c r="R27" s="162"/>
      <c r="S27" s="162"/>
      <c r="T27" s="162"/>
      <c r="U27" s="162"/>
      <c r="V27" s="162"/>
      <c r="W27" s="162"/>
      <c r="X27" s="162"/>
      <c r="Y27" s="162"/>
      <c r="Z27" s="162"/>
    </row>
    <row r="28" spans="2:26" x14ac:dyDescent="0.2">
      <c r="D28" s="162"/>
      <c r="E28" s="162"/>
      <c r="F28" s="162"/>
      <c r="G28" s="162"/>
      <c r="H28" s="162"/>
      <c r="I28" s="162"/>
      <c r="J28" s="162"/>
      <c r="K28" s="162"/>
      <c r="L28" s="162"/>
      <c r="M28" s="162"/>
      <c r="N28" s="162"/>
      <c r="O28" s="162"/>
      <c r="P28" s="162"/>
      <c r="Q28" s="162"/>
      <c r="R28" s="162"/>
      <c r="S28" s="162"/>
      <c r="T28" s="162"/>
      <c r="U28" s="162"/>
      <c r="V28" s="162"/>
      <c r="W28" s="162"/>
      <c r="X28" s="162"/>
      <c r="Y28" s="162"/>
      <c r="Z28" s="162"/>
    </row>
  </sheetData>
  <mergeCells count="14">
    <mergeCell ref="D25:Z25"/>
    <mergeCell ref="D26:Z26"/>
    <mergeCell ref="D27:Z27"/>
    <mergeCell ref="D28:Z28"/>
    <mergeCell ref="D20:Z20"/>
    <mergeCell ref="D21:Z21"/>
    <mergeCell ref="D22:Z22"/>
    <mergeCell ref="D23:Z23"/>
    <mergeCell ref="D24:Z24"/>
    <mergeCell ref="B6:P6"/>
    <mergeCell ref="B2:O2"/>
    <mergeCell ref="D17:Z17"/>
    <mergeCell ref="D18:Z18"/>
    <mergeCell ref="D19:Z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57"/>
  <sheetViews>
    <sheetView zoomScale="90" zoomScaleNormal="90" workbookViewId="0"/>
  </sheetViews>
  <sheetFormatPr defaultRowHeight="12.75" x14ac:dyDescent="0.2"/>
  <cols>
    <col min="1" max="1" width="9" style="91"/>
    <col min="2" max="2" width="31.625" style="91" customWidth="1"/>
    <col min="3" max="3" width="25.625" style="91" customWidth="1"/>
    <col min="4" max="11" width="11.625" style="91" customWidth="1"/>
    <col min="12" max="16384" width="9" style="91"/>
  </cols>
  <sheetData>
    <row r="2" spans="2:12" ht="21" customHeight="1" thickBot="1" x14ac:dyDescent="0.35">
      <c r="B2" s="188" t="s">
        <v>103</v>
      </c>
      <c r="C2" s="188"/>
      <c r="D2" s="188"/>
      <c r="E2" s="188"/>
      <c r="F2" s="188"/>
      <c r="G2" s="188"/>
      <c r="H2" s="188"/>
      <c r="I2" s="188"/>
      <c r="J2" s="188"/>
      <c r="K2" s="188"/>
      <c r="L2" s="188"/>
    </row>
    <row r="3" spans="2:12" ht="13.5" thickTop="1" x14ac:dyDescent="0.2">
      <c r="B3" s="145" t="str">
        <f>Tooltype</f>
        <v>Freshwater calculator tool</v>
      </c>
      <c r="C3" s="3"/>
      <c r="D3" s="3"/>
      <c r="E3" s="3"/>
      <c r="F3" s="3"/>
      <c r="G3" s="3"/>
      <c r="H3" s="3"/>
      <c r="I3" s="3"/>
      <c r="J3" s="3"/>
      <c r="K3" s="3"/>
    </row>
    <row r="4" spans="2:12" ht="15" x14ac:dyDescent="0.2">
      <c r="B4" s="190" t="s">
        <v>88</v>
      </c>
      <c r="C4" s="190"/>
      <c r="D4" s="190"/>
      <c r="E4" s="190"/>
      <c r="F4" s="3"/>
      <c r="G4" s="3"/>
      <c r="H4" s="3"/>
      <c r="I4" s="3"/>
      <c r="J4" s="3"/>
      <c r="K4" s="3"/>
    </row>
    <row r="5" spans="2:12" x14ac:dyDescent="0.2">
      <c r="B5" s="189" t="s">
        <v>201</v>
      </c>
      <c r="C5" s="189"/>
      <c r="D5" s="189"/>
      <c r="E5" s="104">
        <f>Z_PNEC_Aquatic_Inside</f>
        <v>0.219</v>
      </c>
      <c r="F5" s="3"/>
      <c r="G5" s="3"/>
      <c r="H5" s="3"/>
      <c r="I5" s="3"/>
      <c r="J5" s="3"/>
      <c r="K5" s="3"/>
    </row>
    <row r="6" spans="2:12" x14ac:dyDescent="0.2">
      <c r="B6" s="189" t="s">
        <v>202</v>
      </c>
      <c r="C6" s="189"/>
      <c r="D6" s="189"/>
      <c r="E6" s="104">
        <f>Z_PNEC_Sediment_Inside</f>
        <v>4.5499999999999999E-2</v>
      </c>
      <c r="F6" s="3"/>
      <c r="G6" s="3"/>
      <c r="H6" s="3"/>
      <c r="I6" s="3"/>
      <c r="J6" s="3"/>
      <c r="K6" s="3"/>
    </row>
    <row r="7" spans="2:12" x14ac:dyDescent="0.2">
      <c r="B7" s="189" t="s">
        <v>203</v>
      </c>
      <c r="C7" s="189"/>
      <c r="D7" s="189"/>
      <c r="E7" s="104">
        <f>Z_PNEC_Aquatic_Surrounding</f>
        <v>0.219</v>
      </c>
      <c r="F7" s="3"/>
      <c r="G7" s="3"/>
      <c r="H7" s="3"/>
      <c r="I7" s="3"/>
      <c r="J7" s="3"/>
      <c r="K7" s="3"/>
    </row>
    <row r="8" spans="2:12" x14ac:dyDescent="0.2">
      <c r="B8" s="189" t="s">
        <v>204</v>
      </c>
      <c r="C8" s="189"/>
      <c r="D8" s="189"/>
      <c r="E8" s="104">
        <f>Z_PNEC_Sediment_Surrounding</f>
        <v>4.5499999999999999E-2</v>
      </c>
      <c r="F8" s="3"/>
      <c r="G8" s="3"/>
      <c r="H8" s="3"/>
      <c r="I8" s="3"/>
      <c r="J8" s="3"/>
      <c r="K8" s="3"/>
    </row>
    <row r="9" spans="2:12" ht="13.5" thickBot="1" x14ac:dyDescent="0.25"/>
    <row r="10" spans="2:12" ht="15" x14ac:dyDescent="0.2">
      <c r="B10" s="191" t="s">
        <v>104</v>
      </c>
      <c r="C10" s="192"/>
      <c r="D10" s="192"/>
      <c r="E10" s="192"/>
      <c r="F10" s="192"/>
      <c r="G10" s="192"/>
    </row>
    <row r="11" spans="2:12" ht="99.95" customHeight="1" x14ac:dyDescent="0.2">
      <c r="B11" s="102" t="s">
        <v>9</v>
      </c>
      <c r="C11" s="102" t="s">
        <v>11</v>
      </c>
      <c r="D11" s="13" t="s">
        <v>209</v>
      </c>
      <c r="E11" s="13" t="s">
        <v>210</v>
      </c>
      <c r="F11" s="13" t="s">
        <v>211</v>
      </c>
      <c r="G11" s="13" t="s">
        <v>212</v>
      </c>
    </row>
    <row r="12" spans="2:12" ht="14.25" customHeight="1" x14ac:dyDescent="0.2">
      <c r="B12" s="105" t="s">
        <v>172</v>
      </c>
      <c r="C12" s="105" t="str">
        <f>Substance</f>
        <v>Zineb and DIDT</v>
      </c>
      <c r="D12" s="108" t="e">
        <f>'Z+D_Regulatory_ Marinas_Calc'!D7</f>
        <v>#DIV/0!</v>
      </c>
      <c r="E12" s="108" t="e">
        <f>'Z+D_Regulatory_ Marinas_Calc'!E7</f>
        <v>#DIV/0!</v>
      </c>
      <c r="F12" s="108" t="e">
        <f>'Z+D_Regulatory_ Marinas_Calc'!F7</f>
        <v>#DIV/0!</v>
      </c>
      <c r="G12" s="108" t="e">
        <f>'Z+D_Regulatory_ Marinas_Calc'!G7</f>
        <v>#DIV/0!</v>
      </c>
    </row>
    <row r="13" spans="2:12" ht="14.25" customHeight="1" x14ac:dyDescent="0.2">
      <c r="B13" s="105" t="s">
        <v>173</v>
      </c>
      <c r="C13" s="105" t="str">
        <f>Substance</f>
        <v>Zineb and DIDT</v>
      </c>
      <c r="D13" s="108" t="e">
        <f>'Z+D_Regulatory_ Marinas_Calc'!D8</f>
        <v>#DIV/0!</v>
      </c>
      <c r="E13" s="108" t="e">
        <f>'Z+D_Regulatory_ Marinas_Calc'!E8</f>
        <v>#DIV/0!</v>
      </c>
      <c r="F13" s="108" t="e">
        <f>'Z+D_Regulatory_ Marinas_Calc'!F8</f>
        <v>#DIV/0!</v>
      </c>
      <c r="G13" s="108" t="e">
        <f>'Z+D_Regulatory_ Marinas_Calc'!G8</f>
        <v>#DIV/0!</v>
      </c>
    </row>
    <row r="14" spans="2:12" ht="14.25" customHeight="1" x14ac:dyDescent="0.2"/>
    <row r="15" spans="2:12" ht="14.25" customHeight="1" x14ac:dyDescent="0.2"/>
    <row r="16" spans="2:1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sheetData>
  <mergeCells count="7">
    <mergeCell ref="B10:G10"/>
    <mergeCell ref="B2:L2"/>
    <mergeCell ref="B4:E4"/>
    <mergeCell ref="B5:D5"/>
    <mergeCell ref="B6:D6"/>
    <mergeCell ref="B7:D7"/>
    <mergeCell ref="B8:D8"/>
  </mergeCells>
  <conditionalFormatting sqref="D12:G13">
    <cfRule type="cellIs" dxfId="14" priority="1" operator="lessThan">
      <formula>1</formula>
    </cfRule>
    <cfRule type="cellIs" dxfId="13" priority="2" operator="greaterThan">
      <formula>1</formula>
    </cfRule>
    <cfRule type="cellIs" dxfId="12" priority="3" operat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4" style="3" bestFit="1" customWidth="1"/>
    <col min="4" max="4" width="5.75" style="3" bestFit="1" customWidth="1"/>
    <col min="5" max="5" width="25.625" style="3" customWidth="1"/>
    <col min="6" max="13" width="11.625" style="3" customWidth="1"/>
    <col min="14" max="16384" width="9" style="3"/>
  </cols>
  <sheetData>
    <row r="2" spans="2:14" ht="21" thickBot="1" x14ac:dyDescent="0.35">
      <c r="B2" s="188" t="s">
        <v>103</v>
      </c>
      <c r="C2" s="188"/>
      <c r="D2" s="188"/>
      <c r="E2" s="188"/>
      <c r="F2" s="188"/>
      <c r="G2" s="188"/>
      <c r="H2" s="188"/>
      <c r="I2" s="188"/>
      <c r="J2" s="188"/>
      <c r="K2" s="188"/>
      <c r="L2" s="188"/>
      <c r="M2" s="188"/>
      <c r="N2" s="188"/>
    </row>
    <row r="3" spans="2:14" ht="13.5" thickTop="1" x14ac:dyDescent="0.2">
      <c r="B3" s="145" t="str">
        <f>Tooltype</f>
        <v>Freshwater calculator tool</v>
      </c>
      <c r="C3" s="91"/>
      <c r="D3" s="91"/>
      <c r="E3" s="91"/>
      <c r="F3" s="91"/>
      <c r="G3" s="91"/>
      <c r="H3" s="91"/>
      <c r="I3" s="91"/>
      <c r="J3" s="91"/>
      <c r="K3" s="91"/>
      <c r="L3" s="91"/>
      <c r="M3" s="91"/>
    </row>
    <row r="4" spans="2:14" ht="15" x14ac:dyDescent="0.2">
      <c r="B4" s="190" t="s">
        <v>88</v>
      </c>
      <c r="C4" s="190"/>
      <c r="D4" s="190"/>
      <c r="E4" s="190"/>
      <c r="F4" s="190"/>
      <c r="G4" s="190"/>
      <c r="H4" s="91"/>
      <c r="I4" s="91"/>
      <c r="J4" s="91"/>
      <c r="K4" s="91"/>
      <c r="L4" s="91"/>
      <c r="M4" s="91"/>
    </row>
    <row r="5" spans="2:14" x14ac:dyDescent="0.2">
      <c r="B5" s="189" t="s">
        <v>201</v>
      </c>
      <c r="C5" s="189"/>
      <c r="D5" s="189"/>
      <c r="E5" s="189"/>
      <c r="F5" s="189"/>
      <c r="G5" s="104">
        <f>Z_PNEC_Aquatic_Inside</f>
        <v>0.219</v>
      </c>
      <c r="I5" s="91"/>
      <c r="J5" s="91"/>
      <c r="K5" s="91"/>
      <c r="L5" s="91"/>
      <c r="M5" s="91"/>
    </row>
    <row r="6" spans="2:14" x14ac:dyDescent="0.2">
      <c r="B6" s="189" t="s">
        <v>202</v>
      </c>
      <c r="C6" s="189"/>
      <c r="D6" s="189"/>
      <c r="E6" s="189"/>
      <c r="F6" s="189"/>
      <c r="G6" s="104">
        <f>Z_PNEC_Sediment_Inside</f>
        <v>4.5499999999999999E-2</v>
      </c>
      <c r="I6" s="91"/>
      <c r="J6" s="91"/>
      <c r="K6" s="91"/>
      <c r="L6" s="91"/>
      <c r="M6" s="91"/>
    </row>
    <row r="7" spans="2:14" x14ac:dyDescent="0.2">
      <c r="B7" s="189" t="s">
        <v>203</v>
      </c>
      <c r="C7" s="189"/>
      <c r="D7" s="189"/>
      <c r="E7" s="189"/>
      <c r="F7" s="189"/>
      <c r="G7" s="104">
        <f>Z_PNEC_Aquatic_Surrounding</f>
        <v>0.219</v>
      </c>
      <c r="I7" s="91"/>
      <c r="J7" s="91"/>
      <c r="K7" s="91"/>
      <c r="L7" s="91"/>
      <c r="M7" s="91"/>
    </row>
    <row r="8" spans="2:14" x14ac:dyDescent="0.2">
      <c r="B8" s="189" t="s">
        <v>204</v>
      </c>
      <c r="C8" s="189"/>
      <c r="D8" s="189"/>
      <c r="E8" s="189"/>
      <c r="F8" s="189"/>
      <c r="G8" s="104">
        <f>Z_PNEC_Sediment_Surrounding</f>
        <v>4.5499999999999999E-2</v>
      </c>
      <c r="I8" s="91"/>
      <c r="J8" s="91"/>
      <c r="K8" s="91"/>
      <c r="L8" s="91"/>
      <c r="M8" s="91"/>
    </row>
    <row r="10" spans="2:14" ht="15" x14ac:dyDescent="0.2">
      <c r="B10" s="168" t="s">
        <v>64</v>
      </c>
      <c r="C10" s="168"/>
      <c r="D10" s="168"/>
      <c r="E10" s="168"/>
      <c r="F10" s="168"/>
      <c r="G10" s="168"/>
      <c r="H10" s="168"/>
      <c r="I10" s="168"/>
      <c r="J10" s="168"/>
      <c r="K10" s="168"/>
      <c r="L10" s="168"/>
      <c r="M10" s="168"/>
    </row>
    <row r="11" spans="2:14" ht="99.95" customHeight="1" x14ac:dyDescent="0.2">
      <c r="B11" s="102" t="s">
        <v>9</v>
      </c>
      <c r="C11" s="93" t="s">
        <v>187</v>
      </c>
      <c r="D11" s="93" t="s">
        <v>186</v>
      </c>
      <c r="E11" s="102" t="s">
        <v>11</v>
      </c>
      <c r="F11" s="13" t="s">
        <v>73</v>
      </c>
      <c r="G11" s="13" t="s">
        <v>207</v>
      </c>
      <c r="H11" s="13" t="s">
        <v>74</v>
      </c>
      <c r="I11" s="13" t="s">
        <v>208</v>
      </c>
      <c r="J11" s="13" t="s">
        <v>209</v>
      </c>
      <c r="K11" s="13" t="s">
        <v>210</v>
      </c>
      <c r="L11" s="13" t="s">
        <v>211</v>
      </c>
      <c r="M11" s="13" t="s">
        <v>212</v>
      </c>
    </row>
    <row r="12" spans="2:14" ht="14.25" x14ac:dyDescent="0.2">
      <c r="B12" s="103" t="s">
        <v>106</v>
      </c>
      <c r="C12" s="75" t="s">
        <v>107</v>
      </c>
      <c r="D12" s="75">
        <v>1</v>
      </c>
      <c r="E12" s="103" t="str">
        <f t="shared" ref="E12:E57" si="0">Z_Compound_Name</f>
        <v>Zineb</v>
      </c>
      <c r="F12" s="76" t="e">
        <f>'Z_EU Marinas_Scenario_Calc'!K21</f>
        <v>#DIV/0!</v>
      </c>
      <c r="G12" s="76" t="e">
        <f>'Z_EU Marinas_Scenario_Calc'!L21</f>
        <v>#DIV/0!</v>
      </c>
      <c r="H12" s="76" t="e">
        <f>'Z_EU Marinas_Scenario_Calc'!M21</f>
        <v>#DIV/0!</v>
      </c>
      <c r="I12" s="76" t="e">
        <f>'Z_EU Marinas_Scenario_Calc'!N21</f>
        <v>#DIV/0!</v>
      </c>
      <c r="J12" s="76" t="e">
        <f>'Z_EU Marinas_Scenario_Calc'!S21</f>
        <v>#DIV/0!</v>
      </c>
      <c r="K12" s="76" t="e">
        <f>'Z_EU Marinas_Scenario_Calc'!T21</f>
        <v>#DIV/0!</v>
      </c>
      <c r="L12" s="76" t="e">
        <f>'Z_EU Marinas_Scenario_Calc'!U21</f>
        <v>#DIV/0!</v>
      </c>
      <c r="M12" s="76" t="e">
        <f>'Z_EU Marinas_Scenario_Calc'!V21</f>
        <v>#DIV/0!</v>
      </c>
    </row>
    <row r="13" spans="2:14" ht="14.25" x14ac:dyDescent="0.2">
      <c r="B13" s="103" t="s">
        <v>108</v>
      </c>
      <c r="C13" s="75" t="s">
        <v>107</v>
      </c>
      <c r="D13" s="75">
        <v>2</v>
      </c>
      <c r="E13" s="103" t="str">
        <f t="shared" si="0"/>
        <v>Zineb</v>
      </c>
      <c r="F13" s="76" t="e">
        <f>'Z_EU Marinas_Scenario_Calc'!K22</f>
        <v>#DIV/0!</v>
      </c>
      <c r="G13" s="76" t="e">
        <f>'Z_EU Marinas_Scenario_Calc'!L22</f>
        <v>#DIV/0!</v>
      </c>
      <c r="H13" s="76" t="e">
        <f>'Z_EU Marinas_Scenario_Calc'!M22</f>
        <v>#DIV/0!</v>
      </c>
      <c r="I13" s="76" t="e">
        <f>'Z_EU Marinas_Scenario_Calc'!N22</f>
        <v>#DIV/0!</v>
      </c>
      <c r="J13" s="76" t="e">
        <f>'Z_EU Marinas_Scenario_Calc'!S22</f>
        <v>#DIV/0!</v>
      </c>
      <c r="K13" s="76" t="e">
        <f>'Z_EU Marinas_Scenario_Calc'!T22</f>
        <v>#DIV/0!</v>
      </c>
      <c r="L13" s="76" t="e">
        <f>'Z_EU Marinas_Scenario_Calc'!U22</f>
        <v>#DIV/0!</v>
      </c>
      <c r="M13" s="76" t="e">
        <f>'Z_EU Marinas_Scenario_Calc'!V22</f>
        <v>#DIV/0!</v>
      </c>
    </row>
    <row r="14" spans="2:14" ht="14.25" x14ac:dyDescent="0.2">
      <c r="B14" s="103" t="s">
        <v>109</v>
      </c>
      <c r="C14" s="75" t="s">
        <v>107</v>
      </c>
      <c r="D14" s="75">
        <v>3</v>
      </c>
      <c r="E14" s="103" t="str">
        <f t="shared" si="0"/>
        <v>Zineb</v>
      </c>
      <c r="F14" s="76" t="e">
        <f>'Z_EU Marinas_Scenario_Calc'!K23</f>
        <v>#DIV/0!</v>
      </c>
      <c r="G14" s="76" t="e">
        <f>'Z_EU Marinas_Scenario_Calc'!L23</f>
        <v>#DIV/0!</v>
      </c>
      <c r="H14" s="76" t="e">
        <f>'Z_EU Marinas_Scenario_Calc'!M23</f>
        <v>#DIV/0!</v>
      </c>
      <c r="I14" s="76" t="e">
        <f>'Z_EU Marinas_Scenario_Calc'!N23</f>
        <v>#DIV/0!</v>
      </c>
      <c r="J14" s="76" t="e">
        <f>'Z_EU Marinas_Scenario_Calc'!S23</f>
        <v>#DIV/0!</v>
      </c>
      <c r="K14" s="76" t="e">
        <f>'Z_EU Marinas_Scenario_Calc'!T23</f>
        <v>#DIV/0!</v>
      </c>
      <c r="L14" s="76" t="e">
        <f>'Z_EU Marinas_Scenario_Calc'!U23</f>
        <v>#DIV/0!</v>
      </c>
      <c r="M14" s="76" t="e">
        <f>'Z_EU Marinas_Scenario_Calc'!V23</f>
        <v>#DIV/0!</v>
      </c>
    </row>
    <row r="15" spans="2:14" ht="14.25" x14ac:dyDescent="0.2">
      <c r="B15" s="103" t="s">
        <v>110</v>
      </c>
      <c r="C15" s="75" t="s">
        <v>107</v>
      </c>
      <c r="D15" s="75">
        <v>4</v>
      </c>
      <c r="E15" s="103" t="str">
        <f t="shared" si="0"/>
        <v>Zineb</v>
      </c>
      <c r="F15" s="76" t="e">
        <f>'Z_EU Marinas_Scenario_Calc'!K24</f>
        <v>#DIV/0!</v>
      </c>
      <c r="G15" s="76" t="e">
        <f>'Z_EU Marinas_Scenario_Calc'!L24</f>
        <v>#DIV/0!</v>
      </c>
      <c r="H15" s="76" t="e">
        <f>'Z_EU Marinas_Scenario_Calc'!M24</f>
        <v>#DIV/0!</v>
      </c>
      <c r="I15" s="76" t="e">
        <f>'Z_EU Marinas_Scenario_Calc'!N24</f>
        <v>#DIV/0!</v>
      </c>
      <c r="J15" s="76" t="e">
        <f>'Z_EU Marinas_Scenario_Calc'!S24</f>
        <v>#DIV/0!</v>
      </c>
      <c r="K15" s="76" t="e">
        <f>'Z_EU Marinas_Scenario_Calc'!T24</f>
        <v>#DIV/0!</v>
      </c>
      <c r="L15" s="76" t="e">
        <f>'Z_EU Marinas_Scenario_Calc'!U24</f>
        <v>#DIV/0!</v>
      </c>
      <c r="M15" s="76" t="e">
        <f>'Z_EU Marinas_Scenario_Calc'!V24</f>
        <v>#DIV/0!</v>
      </c>
    </row>
    <row r="16" spans="2:14" ht="14.25" x14ac:dyDescent="0.2">
      <c r="B16" s="103" t="s">
        <v>111</v>
      </c>
      <c r="C16" s="75" t="s">
        <v>107</v>
      </c>
      <c r="D16" s="75">
        <v>5</v>
      </c>
      <c r="E16" s="103" t="str">
        <f t="shared" si="0"/>
        <v>Zineb</v>
      </c>
      <c r="F16" s="76" t="e">
        <f>'Z_EU Marinas_Scenario_Calc'!K25</f>
        <v>#DIV/0!</v>
      </c>
      <c r="G16" s="76" t="e">
        <f>'Z_EU Marinas_Scenario_Calc'!L25</f>
        <v>#DIV/0!</v>
      </c>
      <c r="H16" s="76" t="e">
        <f>'Z_EU Marinas_Scenario_Calc'!M25</f>
        <v>#DIV/0!</v>
      </c>
      <c r="I16" s="76" t="e">
        <f>'Z_EU Marinas_Scenario_Calc'!N25</f>
        <v>#DIV/0!</v>
      </c>
      <c r="J16" s="76" t="e">
        <f>'Z_EU Marinas_Scenario_Calc'!S25</f>
        <v>#DIV/0!</v>
      </c>
      <c r="K16" s="76" t="e">
        <f>'Z_EU Marinas_Scenario_Calc'!T25</f>
        <v>#DIV/0!</v>
      </c>
      <c r="L16" s="76" t="e">
        <f>'Z_EU Marinas_Scenario_Calc'!U25</f>
        <v>#DIV/0!</v>
      </c>
      <c r="M16" s="76" t="e">
        <f>'Z_EU Marinas_Scenario_Calc'!V25</f>
        <v>#DIV/0!</v>
      </c>
    </row>
    <row r="17" spans="2:13" ht="14.25" x14ac:dyDescent="0.2">
      <c r="B17" s="103" t="s">
        <v>112</v>
      </c>
      <c r="C17" s="75" t="s">
        <v>107</v>
      </c>
      <c r="D17" s="75">
        <v>6</v>
      </c>
      <c r="E17" s="103" t="str">
        <f t="shared" si="0"/>
        <v>Zineb</v>
      </c>
      <c r="F17" s="76" t="e">
        <f>'Z_EU Marinas_Scenario_Calc'!K26</f>
        <v>#DIV/0!</v>
      </c>
      <c r="G17" s="76" t="e">
        <f>'Z_EU Marinas_Scenario_Calc'!L26</f>
        <v>#DIV/0!</v>
      </c>
      <c r="H17" s="76" t="e">
        <f>'Z_EU Marinas_Scenario_Calc'!M26</f>
        <v>#DIV/0!</v>
      </c>
      <c r="I17" s="76" t="e">
        <f>'Z_EU Marinas_Scenario_Calc'!N26</f>
        <v>#DIV/0!</v>
      </c>
      <c r="J17" s="76" t="e">
        <f>'Z_EU Marinas_Scenario_Calc'!S26</f>
        <v>#DIV/0!</v>
      </c>
      <c r="K17" s="76" t="e">
        <f>'Z_EU Marinas_Scenario_Calc'!T26</f>
        <v>#DIV/0!</v>
      </c>
      <c r="L17" s="76" t="e">
        <f>'Z_EU Marinas_Scenario_Calc'!U26</f>
        <v>#DIV/0!</v>
      </c>
      <c r="M17" s="76" t="e">
        <f>'Z_EU Marinas_Scenario_Calc'!V26</f>
        <v>#DIV/0!</v>
      </c>
    </row>
    <row r="18" spans="2:13" ht="14.25" x14ac:dyDescent="0.2">
      <c r="B18" s="103" t="s">
        <v>113</v>
      </c>
      <c r="C18" s="75" t="s">
        <v>107</v>
      </c>
      <c r="D18" s="75">
        <v>7</v>
      </c>
      <c r="E18" s="103" t="str">
        <f t="shared" si="0"/>
        <v>Zineb</v>
      </c>
      <c r="F18" s="76" t="e">
        <f>'Z_EU Marinas_Scenario_Calc'!K27</f>
        <v>#DIV/0!</v>
      </c>
      <c r="G18" s="76" t="e">
        <f>'Z_EU Marinas_Scenario_Calc'!L27</f>
        <v>#DIV/0!</v>
      </c>
      <c r="H18" s="76" t="e">
        <f>'Z_EU Marinas_Scenario_Calc'!M27</f>
        <v>#DIV/0!</v>
      </c>
      <c r="I18" s="76" t="e">
        <f>'Z_EU Marinas_Scenario_Calc'!N27</f>
        <v>#DIV/0!</v>
      </c>
      <c r="J18" s="76" t="e">
        <f>'Z_EU Marinas_Scenario_Calc'!S27</f>
        <v>#DIV/0!</v>
      </c>
      <c r="K18" s="76" t="e">
        <f>'Z_EU Marinas_Scenario_Calc'!T27</f>
        <v>#DIV/0!</v>
      </c>
      <c r="L18" s="76" t="e">
        <f>'Z_EU Marinas_Scenario_Calc'!U27</f>
        <v>#DIV/0!</v>
      </c>
      <c r="M18" s="76" t="e">
        <f>'Z_EU Marinas_Scenario_Calc'!V27</f>
        <v>#DIV/0!</v>
      </c>
    </row>
    <row r="19" spans="2:13" ht="14.25" x14ac:dyDescent="0.2">
      <c r="B19" s="103" t="s">
        <v>114</v>
      </c>
      <c r="C19" s="75" t="s">
        <v>115</v>
      </c>
      <c r="D19" s="75">
        <v>2</v>
      </c>
      <c r="E19" s="103" t="str">
        <f t="shared" si="0"/>
        <v>Zineb</v>
      </c>
      <c r="F19" s="76" t="e">
        <f>'Z_EU Marinas_Scenario_Calc'!K28</f>
        <v>#DIV/0!</v>
      </c>
      <c r="G19" s="76" t="e">
        <f>'Z_EU Marinas_Scenario_Calc'!L28</f>
        <v>#DIV/0!</v>
      </c>
      <c r="H19" s="76" t="e">
        <f>'Z_EU Marinas_Scenario_Calc'!M28</f>
        <v>#DIV/0!</v>
      </c>
      <c r="I19" s="76" t="e">
        <f>'Z_EU Marinas_Scenario_Calc'!N28</f>
        <v>#DIV/0!</v>
      </c>
      <c r="J19" s="76" t="e">
        <f>'Z_EU Marinas_Scenario_Calc'!S28</f>
        <v>#DIV/0!</v>
      </c>
      <c r="K19" s="76" t="e">
        <f>'Z_EU Marinas_Scenario_Calc'!T28</f>
        <v>#DIV/0!</v>
      </c>
      <c r="L19" s="76" t="e">
        <f>'Z_EU Marinas_Scenario_Calc'!U28</f>
        <v>#DIV/0!</v>
      </c>
      <c r="M19" s="76" t="e">
        <f>'Z_EU Marinas_Scenario_Calc'!V28</f>
        <v>#DIV/0!</v>
      </c>
    </row>
    <row r="20" spans="2:13" ht="14.25" x14ac:dyDescent="0.2">
      <c r="B20" s="103" t="s">
        <v>116</v>
      </c>
      <c r="C20" s="75" t="s">
        <v>115</v>
      </c>
      <c r="D20" s="75">
        <v>3</v>
      </c>
      <c r="E20" s="103" t="str">
        <f t="shared" si="0"/>
        <v>Zineb</v>
      </c>
      <c r="F20" s="76" t="e">
        <f>'Z_EU Marinas_Scenario_Calc'!K29</f>
        <v>#DIV/0!</v>
      </c>
      <c r="G20" s="76" t="e">
        <f>'Z_EU Marinas_Scenario_Calc'!L29</f>
        <v>#DIV/0!</v>
      </c>
      <c r="H20" s="76" t="e">
        <f>'Z_EU Marinas_Scenario_Calc'!M29</f>
        <v>#DIV/0!</v>
      </c>
      <c r="I20" s="76" t="e">
        <f>'Z_EU Marinas_Scenario_Calc'!N29</f>
        <v>#DIV/0!</v>
      </c>
      <c r="J20" s="76" t="e">
        <f>'Z_EU Marinas_Scenario_Calc'!S29</f>
        <v>#DIV/0!</v>
      </c>
      <c r="K20" s="76" t="e">
        <f>'Z_EU Marinas_Scenario_Calc'!T29</f>
        <v>#DIV/0!</v>
      </c>
      <c r="L20" s="76" t="e">
        <f>'Z_EU Marinas_Scenario_Calc'!U29</f>
        <v>#DIV/0!</v>
      </c>
      <c r="M20" s="76" t="e">
        <f>'Z_EU Marinas_Scenario_Calc'!V29</f>
        <v>#DIV/0!</v>
      </c>
    </row>
    <row r="21" spans="2:13" ht="14.25" x14ac:dyDescent="0.2">
      <c r="B21" s="103" t="s">
        <v>117</v>
      </c>
      <c r="C21" s="75" t="s">
        <v>115</v>
      </c>
      <c r="D21" s="75">
        <v>5</v>
      </c>
      <c r="E21" s="103" t="str">
        <f t="shared" si="0"/>
        <v>Zineb</v>
      </c>
      <c r="F21" s="76" t="e">
        <f>'Z_EU Marinas_Scenario_Calc'!K30</f>
        <v>#DIV/0!</v>
      </c>
      <c r="G21" s="76" t="e">
        <f>'Z_EU Marinas_Scenario_Calc'!L30</f>
        <v>#DIV/0!</v>
      </c>
      <c r="H21" s="76" t="e">
        <f>'Z_EU Marinas_Scenario_Calc'!M30</f>
        <v>#DIV/0!</v>
      </c>
      <c r="I21" s="76" t="e">
        <f>'Z_EU Marinas_Scenario_Calc'!N30</f>
        <v>#DIV/0!</v>
      </c>
      <c r="J21" s="76" t="e">
        <f>'Z_EU Marinas_Scenario_Calc'!S30</f>
        <v>#DIV/0!</v>
      </c>
      <c r="K21" s="76" t="e">
        <f>'Z_EU Marinas_Scenario_Calc'!T30</f>
        <v>#DIV/0!</v>
      </c>
      <c r="L21" s="76" t="e">
        <f>'Z_EU Marinas_Scenario_Calc'!U30</f>
        <v>#DIV/0!</v>
      </c>
      <c r="M21" s="76" t="e">
        <f>'Z_EU Marinas_Scenario_Calc'!V30</f>
        <v>#DIV/0!</v>
      </c>
    </row>
    <row r="22" spans="2:13" ht="14.25" x14ac:dyDescent="0.2">
      <c r="B22" s="103" t="s">
        <v>118</v>
      </c>
      <c r="C22" s="75" t="s">
        <v>115</v>
      </c>
      <c r="D22" s="75">
        <v>6</v>
      </c>
      <c r="E22" s="103" t="str">
        <f t="shared" si="0"/>
        <v>Zineb</v>
      </c>
      <c r="F22" s="76" t="e">
        <f>'Z_EU Marinas_Scenario_Calc'!K31</f>
        <v>#DIV/0!</v>
      </c>
      <c r="G22" s="76" t="e">
        <f>'Z_EU Marinas_Scenario_Calc'!L31</f>
        <v>#DIV/0!</v>
      </c>
      <c r="H22" s="76" t="e">
        <f>'Z_EU Marinas_Scenario_Calc'!M31</f>
        <v>#DIV/0!</v>
      </c>
      <c r="I22" s="76" t="e">
        <f>'Z_EU Marinas_Scenario_Calc'!N31</f>
        <v>#DIV/0!</v>
      </c>
      <c r="J22" s="76" t="e">
        <f>'Z_EU Marinas_Scenario_Calc'!S31</f>
        <v>#DIV/0!</v>
      </c>
      <c r="K22" s="76" t="e">
        <f>'Z_EU Marinas_Scenario_Calc'!T31</f>
        <v>#DIV/0!</v>
      </c>
      <c r="L22" s="76" t="e">
        <f>'Z_EU Marinas_Scenario_Calc'!U31</f>
        <v>#DIV/0!</v>
      </c>
      <c r="M22" s="76" t="e">
        <f>'Z_EU Marinas_Scenario_Calc'!V31</f>
        <v>#DIV/0!</v>
      </c>
    </row>
    <row r="23" spans="2:13" ht="14.25" x14ac:dyDescent="0.2">
      <c r="B23" s="103" t="s">
        <v>119</v>
      </c>
      <c r="C23" s="75" t="s">
        <v>115</v>
      </c>
      <c r="D23" s="75">
        <v>11</v>
      </c>
      <c r="E23" s="103" t="str">
        <f t="shared" si="0"/>
        <v>Zineb</v>
      </c>
      <c r="F23" s="76" t="e">
        <f>'Z_EU Marinas_Scenario_Calc'!K32</f>
        <v>#DIV/0!</v>
      </c>
      <c r="G23" s="76" t="e">
        <f>'Z_EU Marinas_Scenario_Calc'!L32</f>
        <v>#DIV/0!</v>
      </c>
      <c r="H23" s="76" t="e">
        <f>'Z_EU Marinas_Scenario_Calc'!M32</f>
        <v>#DIV/0!</v>
      </c>
      <c r="I23" s="76" t="e">
        <f>'Z_EU Marinas_Scenario_Calc'!N32</f>
        <v>#DIV/0!</v>
      </c>
      <c r="J23" s="76" t="e">
        <f>'Z_EU Marinas_Scenario_Calc'!S32</f>
        <v>#DIV/0!</v>
      </c>
      <c r="K23" s="76" t="e">
        <f>'Z_EU Marinas_Scenario_Calc'!T32</f>
        <v>#DIV/0!</v>
      </c>
      <c r="L23" s="76" t="e">
        <f>'Z_EU Marinas_Scenario_Calc'!U32</f>
        <v>#DIV/0!</v>
      </c>
      <c r="M23" s="76" t="e">
        <f>'Z_EU Marinas_Scenario_Calc'!V32</f>
        <v>#DIV/0!</v>
      </c>
    </row>
    <row r="24" spans="2:13" ht="14.25" x14ac:dyDescent="0.2">
      <c r="B24" s="103" t="s">
        <v>120</v>
      </c>
      <c r="C24" s="75" t="s">
        <v>115</v>
      </c>
      <c r="D24" s="75">
        <v>12</v>
      </c>
      <c r="E24" s="103" t="str">
        <f t="shared" si="0"/>
        <v>Zineb</v>
      </c>
      <c r="F24" s="76" t="e">
        <f>'Z_EU Marinas_Scenario_Calc'!K33</f>
        <v>#DIV/0!</v>
      </c>
      <c r="G24" s="76" t="e">
        <f>'Z_EU Marinas_Scenario_Calc'!L33</f>
        <v>#DIV/0!</v>
      </c>
      <c r="H24" s="76" t="e">
        <f>'Z_EU Marinas_Scenario_Calc'!M33</f>
        <v>#DIV/0!</v>
      </c>
      <c r="I24" s="76" t="e">
        <f>'Z_EU Marinas_Scenario_Calc'!N33</f>
        <v>#DIV/0!</v>
      </c>
      <c r="J24" s="76" t="e">
        <f>'Z_EU Marinas_Scenario_Calc'!S33</f>
        <v>#DIV/0!</v>
      </c>
      <c r="K24" s="76" t="e">
        <f>'Z_EU Marinas_Scenario_Calc'!T33</f>
        <v>#DIV/0!</v>
      </c>
      <c r="L24" s="76" t="e">
        <f>'Z_EU Marinas_Scenario_Calc'!U33</f>
        <v>#DIV/0!</v>
      </c>
      <c r="M24" s="76" t="e">
        <f>'Z_EU Marinas_Scenario_Calc'!V33</f>
        <v>#DIV/0!</v>
      </c>
    </row>
    <row r="25" spans="2:13" ht="14.25" x14ac:dyDescent="0.2">
      <c r="B25" s="103" t="s">
        <v>121</v>
      </c>
      <c r="C25" s="75" t="s">
        <v>12</v>
      </c>
      <c r="D25" s="75" t="s">
        <v>122</v>
      </c>
      <c r="E25" s="103" t="str">
        <f t="shared" si="0"/>
        <v>Zineb</v>
      </c>
      <c r="F25" s="76" t="e">
        <f>'Z_EU Marinas_Scenario_Calc'!K34</f>
        <v>#DIV/0!</v>
      </c>
      <c r="G25" s="76" t="e">
        <f>'Z_EU Marinas_Scenario_Calc'!L34</f>
        <v>#DIV/0!</v>
      </c>
      <c r="H25" s="76" t="e">
        <f>'Z_EU Marinas_Scenario_Calc'!M34</f>
        <v>#DIV/0!</v>
      </c>
      <c r="I25" s="76" t="e">
        <f>'Z_EU Marinas_Scenario_Calc'!N34</f>
        <v>#DIV/0!</v>
      </c>
      <c r="J25" s="76" t="e">
        <f>'Z_EU Marinas_Scenario_Calc'!S34</f>
        <v>#DIV/0!</v>
      </c>
      <c r="K25" s="76" t="e">
        <f>'Z_EU Marinas_Scenario_Calc'!T34</f>
        <v>#DIV/0!</v>
      </c>
      <c r="L25" s="76" t="e">
        <f>'Z_EU Marinas_Scenario_Calc'!U34</f>
        <v>#DIV/0!</v>
      </c>
      <c r="M25" s="76" t="e">
        <f>'Z_EU Marinas_Scenario_Calc'!V34</f>
        <v>#DIV/0!</v>
      </c>
    </row>
    <row r="26" spans="2:13" ht="14.25" x14ac:dyDescent="0.2">
      <c r="B26" s="103" t="s">
        <v>123</v>
      </c>
      <c r="C26" s="75" t="s">
        <v>12</v>
      </c>
      <c r="D26" s="75" t="s">
        <v>124</v>
      </c>
      <c r="E26" s="103" t="str">
        <f t="shared" si="0"/>
        <v>Zineb</v>
      </c>
      <c r="F26" s="76" t="e">
        <f>'Z_EU Marinas_Scenario_Calc'!K35</f>
        <v>#DIV/0!</v>
      </c>
      <c r="G26" s="76" t="e">
        <f>'Z_EU Marinas_Scenario_Calc'!L35</f>
        <v>#DIV/0!</v>
      </c>
      <c r="H26" s="76" t="e">
        <f>'Z_EU Marinas_Scenario_Calc'!M35</f>
        <v>#DIV/0!</v>
      </c>
      <c r="I26" s="76" t="e">
        <f>'Z_EU Marinas_Scenario_Calc'!N35</f>
        <v>#DIV/0!</v>
      </c>
      <c r="J26" s="76" t="e">
        <f>'Z_EU Marinas_Scenario_Calc'!S35</f>
        <v>#DIV/0!</v>
      </c>
      <c r="K26" s="76" t="e">
        <f>'Z_EU Marinas_Scenario_Calc'!T35</f>
        <v>#DIV/0!</v>
      </c>
      <c r="L26" s="76" t="e">
        <f>'Z_EU Marinas_Scenario_Calc'!U35</f>
        <v>#DIV/0!</v>
      </c>
      <c r="M26" s="76" t="e">
        <f>'Z_EU Marinas_Scenario_Calc'!V35</f>
        <v>#DIV/0!</v>
      </c>
    </row>
    <row r="27" spans="2:13" ht="14.25" x14ac:dyDescent="0.2">
      <c r="B27" s="103" t="s">
        <v>125</v>
      </c>
      <c r="C27" s="75" t="s">
        <v>12</v>
      </c>
      <c r="D27" s="75" t="s">
        <v>126</v>
      </c>
      <c r="E27" s="103" t="str">
        <f t="shared" si="0"/>
        <v>Zineb</v>
      </c>
      <c r="F27" s="76" t="e">
        <f>'Z_EU Marinas_Scenario_Calc'!K36</f>
        <v>#DIV/0!</v>
      </c>
      <c r="G27" s="76" t="e">
        <f>'Z_EU Marinas_Scenario_Calc'!L36</f>
        <v>#DIV/0!</v>
      </c>
      <c r="H27" s="76" t="e">
        <f>'Z_EU Marinas_Scenario_Calc'!M36</f>
        <v>#DIV/0!</v>
      </c>
      <c r="I27" s="76" t="e">
        <f>'Z_EU Marinas_Scenario_Calc'!N36</f>
        <v>#DIV/0!</v>
      </c>
      <c r="J27" s="76" t="e">
        <f>'Z_EU Marinas_Scenario_Calc'!S36</f>
        <v>#DIV/0!</v>
      </c>
      <c r="K27" s="76" t="e">
        <f>'Z_EU Marinas_Scenario_Calc'!T36</f>
        <v>#DIV/0!</v>
      </c>
      <c r="L27" s="76" t="e">
        <f>'Z_EU Marinas_Scenario_Calc'!U36</f>
        <v>#DIV/0!</v>
      </c>
      <c r="M27" s="76" t="e">
        <f>'Z_EU Marinas_Scenario_Calc'!V36</f>
        <v>#DIV/0!</v>
      </c>
    </row>
    <row r="28" spans="2:13" ht="14.25" x14ac:dyDescent="0.2">
      <c r="B28" s="103" t="s">
        <v>127</v>
      </c>
      <c r="C28" s="75" t="s">
        <v>12</v>
      </c>
      <c r="D28" s="75" t="s">
        <v>128</v>
      </c>
      <c r="E28" s="103" t="str">
        <f t="shared" si="0"/>
        <v>Zineb</v>
      </c>
      <c r="F28" s="76" t="e">
        <f>'Z_EU Marinas_Scenario_Calc'!K37</f>
        <v>#DIV/0!</v>
      </c>
      <c r="G28" s="76" t="e">
        <f>'Z_EU Marinas_Scenario_Calc'!L37</f>
        <v>#DIV/0!</v>
      </c>
      <c r="H28" s="76" t="e">
        <f>'Z_EU Marinas_Scenario_Calc'!M37</f>
        <v>#DIV/0!</v>
      </c>
      <c r="I28" s="76" t="e">
        <f>'Z_EU Marinas_Scenario_Calc'!N37</f>
        <v>#DIV/0!</v>
      </c>
      <c r="J28" s="76" t="e">
        <f>'Z_EU Marinas_Scenario_Calc'!S37</f>
        <v>#DIV/0!</v>
      </c>
      <c r="K28" s="76" t="e">
        <f>'Z_EU Marinas_Scenario_Calc'!T37</f>
        <v>#DIV/0!</v>
      </c>
      <c r="L28" s="76" t="e">
        <f>'Z_EU Marinas_Scenario_Calc'!U37</f>
        <v>#DIV/0!</v>
      </c>
      <c r="M28" s="76" t="e">
        <f>'Z_EU Marinas_Scenario_Calc'!V37</f>
        <v>#DIV/0!</v>
      </c>
    </row>
    <row r="29" spans="2:13" ht="14.25" x14ac:dyDescent="0.2">
      <c r="B29" s="103" t="s">
        <v>129</v>
      </c>
      <c r="C29" s="75" t="s">
        <v>12</v>
      </c>
      <c r="D29" s="75" t="s">
        <v>130</v>
      </c>
      <c r="E29" s="103" t="str">
        <f t="shared" si="0"/>
        <v>Zineb</v>
      </c>
      <c r="F29" s="76" t="e">
        <f>'Z_EU Marinas_Scenario_Calc'!K38</f>
        <v>#DIV/0!</v>
      </c>
      <c r="G29" s="76" t="e">
        <f>'Z_EU Marinas_Scenario_Calc'!L38</f>
        <v>#DIV/0!</v>
      </c>
      <c r="H29" s="76" t="e">
        <f>'Z_EU Marinas_Scenario_Calc'!M38</f>
        <v>#DIV/0!</v>
      </c>
      <c r="I29" s="76" t="e">
        <f>'Z_EU Marinas_Scenario_Calc'!N38</f>
        <v>#DIV/0!</v>
      </c>
      <c r="J29" s="76" t="e">
        <f>'Z_EU Marinas_Scenario_Calc'!S38</f>
        <v>#DIV/0!</v>
      </c>
      <c r="K29" s="76" t="e">
        <f>'Z_EU Marinas_Scenario_Calc'!T38</f>
        <v>#DIV/0!</v>
      </c>
      <c r="L29" s="76" t="e">
        <f>'Z_EU Marinas_Scenario_Calc'!U38</f>
        <v>#DIV/0!</v>
      </c>
      <c r="M29" s="76" t="e">
        <f>'Z_EU Marinas_Scenario_Calc'!V38</f>
        <v>#DIV/0!</v>
      </c>
    </row>
    <row r="30" spans="2:13" ht="14.25" x14ac:dyDescent="0.2">
      <c r="B30" s="103" t="s">
        <v>131</v>
      </c>
      <c r="C30" s="75" t="s">
        <v>12</v>
      </c>
      <c r="D30" s="75" t="s">
        <v>132</v>
      </c>
      <c r="E30" s="103" t="str">
        <f t="shared" si="0"/>
        <v>Zineb</v>
      </c>
      <c r="F30" s="76" t="e">
        <f>'Z_EU Marinas_Scenario_Calc'!K39</f>
        <v>#DIV/0!</v>
      </c>
      <c r="G30" s="76" t="e">
        <f>'Z_EU Marinas_Scenario_Calc'!L39</f>
        <v>#DIV/0!</v>
      </c>
      <c r="H30" s="76" t="e">
        <f>'Z_EU Marinas_Scenario_Calc'!M39</f>
        <v>#DIV/0!</v>
      </c>
      <c r="I30" s="76" t="e">
        <f>'Z_EU Marinas_Scenario_Calc'!N39</f>
        <v>#DIV/0!</v>
      </c>
      <c r="J30" s="76" t="e">
        <f>'Z_EU Marinas_Scenario_Calc'!S39</f>
        <v>#DIV/0!</v>
      </c>
      <c r="K30" s="76" t="e">
        <f>'Z_EU Marinas_Scenario_Calc'!T39</f>
        <v>#DIV/0!</v>
      </c>
      <c r="L30" s="76" t="e">
        <f>'Z_EU Marinas_Scenario_Calc'!U39</f>
        <v>#DIV/0!</v>
      </c>
      <c r="M30" s="76" t="e">
        <f>'Z_EU Marinas_Scenario_Calc'!V39</f>
        <v>#DIV/0!</v>
      </c>
    </row>
    <row r="31" spans="2:13" ht="14.25" x14ac:dyDescent="0.2">
      <c r="B31" s="103" t="s">
        <v>133</v>
      </c>
      <c r="C31" s="75" t="s">
        <v>12</v>
      </c>
      <c r="D31" s="75" t="s">
        <v>134</v>
      </c>
      <c r="E31" s="103" t="str">
        <f t="shared" si="0"/>
        <v>Zineb</v>
      </c>
      <c r="F31" s="76" t="e">
        <f>'Z_EU Marinas_Scenario_Calc'!K40</f>
        <v>#DIV/0!</v>
      </c>
      <c r="G31" s="76" t="e">
        <f>'Z_EU Marinas_Scenario_Calc'!L40</f>
        <v>#DIV/0!</v>
      </c>
      <c r="H31" s="76" t="e">
        <f>'Z_EU Marinas_Scenario_Calc'!M40</f>
        <v>#DIV/0!</v>
      </c>
      <c r="I31" s="76" t="e">
        <f>'Z_EU Marinas_Scenario_Calc'!N40</f>
        <v>#DIV/0!</v>
      </c>
      <c r="J31" s="76" t="e">
        <f>'Z_EU Marinas_Scenario_Calc'!S40</f>
        <v>#DIV/0!</v>
      </c>
      <c r="K31" s="76" t="e">
        <f>'Z_EU Marinas_Scenario_Calc'!T40</f>
        <v>#DIV/0!</v>
      </c>
      <c r="L31" s="76" t="e">
        <f>'Z_EU Marinas_Scenario_Calc'!U40</f>
        <v>#DIV/0!</v>
      </c>
      <c r="M31" s="76" t="e">
        <f>'Z_EU Marinas_Scenario_Calc'!V40</f>
        <v>#DIV/0!</v>
      </c>
    </row>
    <row r="32" spans="2:13" ht="14.25" x14ac:dyDescent="0.2">
      <c r="B32" s="103" t="s">
        <v>135</v>
      </c>
      <c r="C32" s="75" t="s">
        <v>12</v>
      </c>
      <c r="D32" s="75" t="s">
        <v>136</v>
      </c>
      <c r="E32" s="103" t="str">
        <f t="shared" si="0"/>
        <v>Zineb</v>
      </c>
      <c r="F32" s="76" t="e">
        <f>'Z_EU Marinas_Scenario_Calc'!K41</f>
        <v>#DIV/0!</v>
      </c>
      <c r="G32" s="76" t="e">
        <f>'Z_EU Marinas_Scenario_Calc'!L41</f>
        <v>#DIV/0!</v>
      </c>
      <c r="H32" s="76" t="e">
        <f>'Z_EU Marinas_Scenario_Calc'!M41</f>
        <v>#DIV/0!</v>
      </c>
      <c r="I32" s="76" t="e">
        <f>'Z_EU Marinas_Scenario_Calc'!N41</f>
        <v>#DIV/0!</v>
      </c>
      <c r="J32" s="76" t="e">
        <f>'Z_EU Marinas_Scenario_Calc'!S41</f>
        <v>#DIV/0!</v>
      </c>
      <c r="K32" s="76" t="e">
        <f>'Z_EU Marinas_Scenario_Calc'!T41</f>
        <v>#DIV/0!</v>
      </c>
      <c r="L32" s="76" t="e">
        <f>'Z_EU Marinas_Scenario_Calc'!U41</f>
        <v>#DIV/0!</v>
      </c>
      <c r="M32" s="76" t="e">
        <f>'Z_EU Marinas_Scenario_Calc'!V41</f>
        <v>#DIV/0!</v>
      </c>
    </row>
    <row r="33" spans="2:13" ht="14.25" x14ac:dyDescent="0.2">
      <c r="B33" s="103" t="s">
        <v>137</v>
      </c>
      <c r="C33" s="75" t="s">
        <v>12</v>
      </c>
      <c r="D33" s="75" t="s">
        <v>138</v>
      </c>
      <c r="E33" s="103" t="str">
        <f t="shared" si="0"/>
        <v>Zineb</v>
      </c>
      <c r="F33" s="76" t="e">
        <f>'Z_EU Marinas_Scenario_Calc'!K42</f>
        <v>#DIV/0!</v>
      </c>
      <c r="G33" s="76" t="e">
        <f>'Z_EU Marinas_Scenario_Calc'!L42</f>
        <v>#DIV/0!</v>
      </c>
      <c r="H33" s="76" t="e">
        <f>'Z_EU Marinas_Scenario_Calc'!M42</f>
        <v>#DIV/0!</v>
      </c>
      <c r="I33" s="76" t="e">
        <f>'Z_EU Marinas_Scenario_Calc'!N42</f>
        <v>#DIV/0!</v>
      </c>
      <c r="J33" s="76" t="e">
        <f>'Z_EU Marinas_Scenario_Calc'!S42</f>
        <v>#DIV/0!</v>
      </c>
      <c r="K33" s="76" t="e">
        <f>'Z_EU Marinas_Scenario_Calc'!T42</f>
        <v>#DIV/0!</v>
      </c>
      <c r="L33" s="76" t="e">
        <f>'Z_EU Marinas_Scenario_Calc'!U42</f>
        <v>#DIV/0!</v>
      </c>
      <c r="M33" s="76" t="e">
        <f>'Z_EU Marinas_Scenario_Calc'!V42</f>
        <v>#DIV/0!</v>
      </c>
    </row>
    <row r="34" spans="2:13" ht="14.25" x14ac:dyDescent="0.2">
      <c r="B34" s="103" t="s">
        <v>139</v>
      </c>
      <c r="C34" s="75" t="s">
        <v>12</v>
      </c>
      <c r="D34" s="75" t="s">
        <v>140</v>
      </c>
      <c r="E34" s="103" t="str">
        <f t="shared" si="0"/>
        <v>Zineb</v>
      </c>
      <c r="F34" s="76" t="e">
        <f>'Z_EU Marinas_Scenario_Calc'!K43</f>
        <v>#DIV/0!</v>
      </c>
      <c r="G34" s="76" t="e">
        <f>'Z_EU Marinas_Scenario_Calc'!L43</f>
        <v>#DIV/0!</v>
      </c>
      <c r="H34" s="76" t="e">
        <f>'Z_EU Marinas_Scenario_Calc'!M43</f>
        <v>#DIV/0!</v>
      </c>
      <c r="I34" s="76" t="e">
        <f>'Z_EU Marinas_Scenario_Calc'!N43</f>
        <v>#DIV/0!</v>
      </c>
      <c r="J34" s="76" t="e">
        <f>'Z_EU Marinas_Scenario_Calc'!S43</f>
        <v>#DIV/0!</v>
      </c>
      <c r="K34" s="76" t="e">
        <f>'Z_EU Marinas_Scenario_Calc'!T43</f>
        <v>#DIV/0!</v>
      </c>
      <c r="L34" s="76" t="e">
        <f>'Z_EU Marinas_Scenario_Calc'!U43</f>
        <v>#DIV/0!</v>
      </c>
      <c r="M34" s="76" t="e">
        <f>'Z_EU Marinas_Scenario_Calc'!V43</f>
        <v>#DIV/0!</v>
      </c>
    </row>
    <row r="35" spans="2:13" ht="14.25" x14ac:dyDescent="0.2">
      <c r="B35" s="103" t="s">
        <v>141</v>
      </c>
      <c r="C35" s="75" t="s">
        <v>13</v>
      </c>
      <c r="D35" s="75">
        <v>1</v>
      </c>
      <c r="E35" s="103" t="str">
        <f t="shared" si="0"/>
        <v>Zineb</v>
      </c>
      <c r="F35" s="76" t="e">
        <f>'Z_EU Marinas_Scenario_Calc'!K44</f>
        <v>#DIV/0!</v>
      </c>
      <c r="G35" s="76" t="e">
        <f>'Z_EU Marinas_Scenario_Calc'!L44</f>
        <v>#DIV/0!</v>
      </c>
      <c r="H35" s="76" t="e">
        <f>'Z_EU Marinas_Scenario_Calc'!M44</f>
        <v>#DIV/0!</v>
      </c>
      <c r="I35" s="76" t="e">
        <f>'Z_EU Marinas_Scenario_Calc'!N44</f>
        <v>#DIV/0!</v>
      </c>
      <c r="J35" s="76" t="e">
        <f>'Z_EU Marinas_Scenario_Calc'!S44</f>
        <v>#DIV/0!</v>
      </c>
      <c r="K35" s="76" t="e">
        <f>'Z_EU Marinas_Scenario_Calc'!T44</f>
        <v>#DIV/0!</v>
      </c>
      <c r="L35" s="76" t="e">
        <f>'Z_EU Marinas_Scenario_Calc'!U44</f>
        <v>#DIV/0!</v>
      </c>
      <c r="M35" s="76" t="e">
        <f>'Z_EU Marinas_Scenario_Calc'!V44</f>
        <v>#DIV/0!</v>
      </c>
    </row>
    <row r="36" spans="2:13" ht="14.25" x14ac:dyDescent="0.2">
      <c r="B36" s="103" t="s">
        <v>142</v>
      </c>
      <c r="C36" s="75" t="s">
        <v>13</v>
      </c>
      <c r="D36" s="75">
        <v>3</v>
      </c>
      <c r="E36" s="103" t="str">
        <f t="shared" si="0"/>
        <v>Zineb</v>
      </c>
      <c r="F36" s="76" t="e">
        <f>'Z_EU Marinas_Scenario_Calc'!K45</f>
        <v>#DIV/0!</v>
      </c>
      <c r="G36" s="76" t="e">
        <f>'Z_EU Marinas_Scenario_Calc'!L45</f>
        <v>#DIV/0!</v>
      </c>
      <c r="H36" s="76" t="e">
        <f>'Z_EU Marinas_Scenario_Calc'!M45</f>
        <v>#DIV/0!</v>
      </c>
      <c r="I36" s="76" t="e">
        <f>'Z_EU Marinas_Scenario_Calc'!N45</f>
        <v>#DIV/0!</v>
      </c>
      <c r="J36" s="76" t="e">
        <f>'Z_EU Marinas_Scenario_Calc'!S45</f>
        <v>#DIV/0!</v>
      </c>
      <c r="K36" s="76" t="e">
        <f>'Z_EU Marinas_Scenario_Calc'!T45</f>
        <v>#DIV/0!</v>
      </c>
      <c r="L36" s="76" t="e">
        <f>'Z_EU Marinas_Scenario_Calc'!U45</f>
        <v>#DIV/0!</v>
      </c>
      <c r="M36" s="76" t="e">
        <f>'Z_EU Marinas_Scenario_Calc'!V45</f>
        <v>#DIV/0!</v>
      </c>
    </row>
    <row r="37" spans="2:13" ht="14.25" x14ac:dyDescent="0.2">
      <c r="B37" s="103" t="s">
        <v>143</v>
      </c>
      <c r="C37" s="75" t="s">
        <v>13</v>
      </c>
      <c r="D37" s="75">
        <v>4</v>
      </c>
      <c r="E37" s="103" t="str">
        <f t="shared" si="0"/>
        <v>Zineb</v>
      </c>
      <c r="F37" s="76" t="e">
        <f>'Z_EU Marinas_Scenario_Calc'!K46</f>
        <v>#DIV/0!</v>
      </c>
      <c r="G37" s="76" t="e">
        <f>'Z_EU Marinas_Scenario_Calc'!L46</f>
        <v>#DIV/0!</v>
      </c>
      <c r="H37" s="76" t="e">
        <f>'Z_EU Marinas_Scenario_Calc'!M46</f>
        <v>#DIV/0!</v>
      </c>
      <c r="I37" s="76" t="e">
        <f>'Z_EU Marinas_Scenario_Calc'!N46</f>
        <v>#DIV/0!</v>
      </c>
      <c r="J37" s="76" t="e">
        <f>'Z_EU Marinas_Scenario_Calc'!S46</f>
        <v>#DIV/0!</v>
      </c>
      <c r="K37" s="76" t="e">
        <f>'Z_EU Marinas_Scenario_Calc'!T46</f>
        <v>#DIV/0!</v>
      </c>
      <c r="L37" s="76" t="e">
        <f>'Z_EU Marinas_Scenario_Calc'!U46</f>
        <v>#DIV/0!</v>
      </c>
      <c r="M37" s="76" t="e">
        <f>'Z_EU Marinas_Scenario_Calc'!V46</f>
        <v>#DIV/0!</v>
      </c>
    </row>
    <row r="38" spans="2:13" ht="14.25" x14ac:dyDescent="0.2">
      <c r="B38" s="103" t="s">
        <v>144</v>
      </c>
      <c r="C38" s="75" t="s">
        <v>13</v>
      </c>
      <c r="D38" s="75">
        <v>6</v>
      </c>
      <c r="E38" s="103" t="str">
        <f t="shared" si="0"/>
        <v>Zineb</v>
      </c>
      <c r="F38" s="76" t="e">
        <f>'Z_EU Marinas_Scenario_Calc'!K47</f>
        <v>#DIV/0!</v>
      </c>
      <c r="G38" s="76" t="e">
        <f>'Z_EU Marinas_Scenario_Calc'!L47</f>
        <v>#DIV/0!</v>
      </c>
      <c r="H38" s="76" t="e">
        <f>'Z_EU Marinas_Scenario_Calc'!M47</f>
        <v>#DIV/0!</v>
      </c>
      <c r="I38" s="76" t="e">
        <f>'Z_EU Marinas_Scenario_Calc'!N47</f>
        <v>#DIV/0!</v>
      </c>
      <c r="J38" s="76" t="e">
        <f>'Z_EU Marinas_Scenario_Calc'!S47</f>
        <v>#DIV/0!</v>
      </c>
      <c r="K38" s="76" t="e">
        <f>'Z_EU Marinas_Scenario_Calc'!T47</f>
        <v>#DIV/0!</v>
      </c>
      <c r="L38" s="76" t="e">
        <f>'Z_EU Marinas_Scenario_Calc'!U47</f>
        <v>#DIV/0!</v>
      </c>
      <c r="M38" s="76" t="e">
        <f>'Z_EU Marinas_Scenario_Calc'!V47</f>
        <v>#DIV/0!</v>
      </c>
    </row>
    <row r="39" spans="2:13" ht="14.25" x14ac:dyDescent="0.2">
      <c r="B39" s="103" t="s">
        <v>145</v>
      </c>
      <c r="C39" s="75" t="s">
        <v>13</v>
      </c>
      <c r="D39" s="75">
        <v>7</v>
      </c>
      <c r="E39" s="103" t="str">
        <f t="shared" si="0"/>
        <v>Zineb</v>
      </c>
      <c r="F39" s="76" t="e">
        <f>'Z_EU Marinas_Scenario_Calc'!K48</f>
        <v>#DIV/0!</v>
      </c>
      <c r="G39" s="76" t="e">
        <f>'Z_EU Marinas_Scenario_Calc'!L48</f>
        <v>#DIV/0!</v>
      </c>
      <c r="H39" s="76" t="e">
        <f>'Z_EU Marinas_Scenario_Calc'!M48</f>
        <v>#DIV/0!</v>
      </c>
      <c r="I39" s="76" t="e">
        <f>'Z_EU Marinas_Scenario_Calc'!N48</f>
        <v>#DIV/0!</v>
      </c>
      <c r="J39" s="76" t="e">
        <f>'Z_EU Marinas_Scenario_Calc'!S48</f>
        <v>#DIV/0!</v>
      </c>
      <c r="K39" s="76" t="e">
        <f>'Z_EU Marinas_Scenario_Calc'!T48</f>
        <v>#DIV/0!</v>
      </c>
      <c r="L39" s="76" t="e">
        <f>'Z_EU Marinas_Scenario_Calc'!U48</f>
        <v>#DIV/0!</v>
      </c>
      <c r="M39" s="76" t="e">
        <f>'Z_EU Marinas_Scenario_Calc'!V48</f>
        <v>#DIV/0!</v>
      </c>
    </row>
    <row r="40" spans="2:13" ht="14.25" x14ac:dyDescent="0.2">
      <c r="B40" s="103" t="s">
        <v>146</v>
      </c>
      <c r="C40" s="75" t="s">
        <v>13</v>
      </c>
      <c r="D40" s="75">
        <v>8</v>
      </c>
      <c r="E40" s="103" t="str">
        <f t="shared" si="0"/>
        <v>Zineb</v>
      </c>
      <c r="F40" s="76" t="e">
        <f>'Z_EU Marinas_Scenario_Calc'!K49</f>
        <v>#DIV/0!</v>
      </c>
      <c r="G40" s="76" t="e">
        <f>'Z_EU Marinas_Scenario_Calc'!L49</f>
        <v>#DIV/0!</v>
      </c>
      <c r="H40" s="76" t="e">
        <f>'Z_EU Marinas_Scenario_Calc'!M49</f>
        <v>#DIV/0!</v>
      </c>
      <c r="I40" s="76" t="e">
        <f>'Z_EU Marinas_Scenario_Calc'!N49</f>
        <v>#DIV/0!</v>
      </c>
      <c r="J40" s="76" t="e">
        <f>'Z_EU Marinas_Scenario_Calc'!S49</f>
        <v>#DIV/0!</v>
      </c>
      <c r="K40" s="76" t="e">
        <f>'Z_EU Marinas_Scenario_Calc'!T49</f>
        <v>#DIV/0!</v>
      </c>
      <c r="L40" s="76" t="e">
        <f>'Z_EU Marinas_Scenario_Calc'!U49</f>
        <v>#DIV/0!</v>
      </c>
      <c r="M40" s="76" t="e">
        <f>'Z_EU Marinas_Scenario_Calc'!V49</f>
        <v>#DIV/0!</v>
      </c>
    </row>
    <row r="41" spans="2:13" ht="14.25" x14ac:dyDescent="0.2">
      <c r="B41" s="103" t="s">
        <v>147</v>
      </c>
      <c r="C41" s="75" t="s">
        <v>13</v>
      </c>
      <c r="D41" s="75">
        <v>14</v>
      </c>
      <c r="E41" s="103" t="str">
        <f t="shared" si="0"/>
        <v>Zineb</v>
      </c>
      <c r="F41" s="76" t="e">
        <f>'Z_EU Marinas_Scenario_Calc'!K50</f>
        <v>#DIV/0!</v>
      </c>
      <c r="G41" s="76" t="e">
        <f>'Z_EU Marinas_Scenario_Calc'!L50</f>
        <v>#DIV/0!</v>
      </c>
      <c r="H41" s="76" t="e">
        <f>'Z_EU Marinas_Scenario_Calc'!M50</f>
        <v>#DIV/0!</v>
      </c>
      <c r="I41" s="76" t="e">
        <f>'Z_EU Marinas_Scenario_Calc'!N50</f>
        <v>#DIV/0!</v>
      </c>
      <c r="J41" s="76" t="e">
        <f>'Z_EU Marinas_Scenario_Calc'!S50</f>
        <v>#DIV/0!</v>
      </c>
      <c r="K41" s="76" t="e">
        <f>'Z_EU Marinas_Scenario_Calc'!T50</f>
        <v>#DIV/0!</v>
      </c>
      <c r="L41" s="76" t="e">
        <f>'Z_EU Marinas_Scenario_Calc'!U50</f>
        <v>#DIV/0!</v>
      </c>
      <c r="M41" s="76" t="e">
        <f>'Z_EU Marinas_Scenario_Calc'!V50</f>
        <v>#DIV/0!</v>
      </c>
    </row>
    <row r="42" spans="2:13" ht="14.25" x14ac:dyDescent="0.2">
      <c r="B42" s="103" t="s">
        <v>148</v>
      </c>
      <c r="C42" s="75" t="s">
        <v>13</v>
      </c>
      <c r="D42" s="75">
        <v>17</v>
      </c>
      <c r="E42" s="103" t="str">
        <f t="shared" si="0"/>
        <v>Zineb</v>
      </c>
      <c r="F42" s="76" t="e">
        <f>'Z_EU Marinas_Scenario_Calc'!K51</f>
        <v>#DIV/0!</v>
      </c>
      <c r="G42" s="76" t="e">
        <f>'Z_EU Marinas_Scenario_Calc'!L51</f>
        <v>#DIV/0!</v>
      </c>
      <c r="H42" s="76" t="e">
        <f>'Z_EU Marinas_Scenario_Calc'!M51</f>
        <v>#DIV/0!</v>
      </c>
      <c r="I42" s="76" t="e">
        <f>'Z_EU Marinas_Scenario_Calc'!N51</f>
        <v>#DIV/0!</v>
      </c>
      <c r="J42" s="76" t="e">
        <f>'Z_EU Marinas_Scenario_Calc'!S51</f>
        <v>#DIV/0!</v>
      </c>
      <c r="K42" s="76" t="e">
        <f>'Z_EU Marinas_Scenario_Calc'!T51</f>
        <v>#DIV/0!</v>
      </c>
      <c r="L42" s="76" t="e">
        <f>'Z_EU Marinas_Scenario_Calc'!U51</f>
        <v>#DIV/0!</v>
      </c>
      <c r="M42" s="76" t="e">
        <f>'Z_EU Marinas_Scenario_Calc'!V51</f>
        <v>#DIV/0!</v>
      </c>
    </row>
    <row r="43" spans="2:13" ht="14.25" x14ac:dyDescent="0.2">
      <c r="B43" s="103" t="s">
        <v>149</v>
      </c>
      <c r="C43" s="75" t="s">
        <v>13</v>
      </c>
      <c r="D43" s="75">
        <v>21</v>
      </c>
      <c r="E43" s="103" t="str">
        <f t="shared" si="0"/>
        <v>Zineb</v>
      </c>
      <c r="F43" s="76" t="e">
        <f>'Z_EU Marinas_Scenario_Calc'!K52</f>
        <v>#DIV/0!</v>
      </c>
      <c r="G43" s="76" t="e">
        <f>'Z_EU Marinas_Scenario_Calc'!L52</f>
        <v>#DIV/0!</v>
      </c>
      <c r="H43" s="76" t="e">
        <f>'Z_EU Marinas_Scenario_Calc'!M52</f>
        <v>#DIV/0!</v>
      </c>
      <c r="I43" s="76" t="e">
        <f>'Z_EU Marinas_Scenario_Calc'!N52</f>
        <v>#DIV/0!</v>
      </c>
      <c r="J43" s="76" t="e">
        <f>'Z_EU Marinas_Scenario_Calc'!S52</f>
        <v>#DIV/0!</v>
      </c>
      <c r="K43" s="76" t="e">
        <f>'Z_EU Marinas_Scenario_Calc'!T52</f>
        <v>#DIV/0!</v>
      </c>
      <c r="L43" s="76" t="e">
        <f>'Z_EU Marinas_Scenario_Calc'!U52</f>
        <v>#DIV/0!</v>
      </c>
      <c r="M43" s="76" t="e">
        <f>'Z_EU Marinas_Scenario_Calc'!V52</f>
        <v>#DIV/0!</v>
      </c>
    </row>
    <row r="44" spans="2:13" ht="14.25" x14ac:dyDescent="0.2">
      <c r="B44" s="103" t="s">
        <v>150</v>
      </c>
      <c r="C44" s="75" t="s">
        <v>13</v>
      </c>
      <c r="D44" s="75">
        <v>26</v>
      </c>
      <c r="E44" s="103" t="str">
        <f t="shared" si="0"/>
        <v>Zineb</v>
      </c>
      <c r="F44" s="76" t="e">
        <f>'Z_EU Marinas_Scenario_Calc'!K53</f>
        <v>#DIV/0!</v>
      </c>
      <c r="G44" s="76" t="e">
        <f>'Z_EU Marinas_Scenario_Calc'!L53</f>
        <v>#DIV/0!</v>
      </c>
      <c r="H44" s="76" t="e">
        <f>'Z_EU Marinas_Scenario_Calc'!M53</f>
        <v>#DIV/0!</v>
      </c>
      <c r="I44" s="76" t="e">
        <f>'Z_EU Marinas_Scenario_Calc'!N53</f>
        <v>#DIV/0!</v>
      </c>
      <c r="J44" s="76" t="e">
        <f>'Z_EU Marinas_Scenario_Calc'!S53</f>
        <v>#DIV/0!</v>
      </c>
      <c r="K44" s="76" t="e">
        <f>'Z_EU Marinas_Scenario_Calc'!T53</f>
        <v>#DIV/0!</v>
      </c>
      <c r="L44" s="76" t="e">
        <f>'Z_EU Marinas_Scenario_Calc'!U53</f>
        <v>#DIV/0!</v>
      </c>
      <c r="M44" s="76" t="e">
        <f>'Z_EU Marinas_Scenario_Calc'!V53</f>
        <v>#DIV/0!</v>
      </c>
    </row>
    <row r="45" spans="2:13" ht="14.25" x14ac:dyDescent="0.2">
      <c r="B45" s="103" t="s">
        <v>151</v>
      </c>
      <c r="C45" s="75" t="s">
        <v>13</v>
      </c>
      <c r="D45" s="75">
        <v>30</v>
      </c>
      <c r="E45" s="103" t="str">
        <f t="shared" si="0"/>
        <v>Zineb</v>
      </c>
      <c r="F45" s="76" t="e">
        <f>'Z_EU Marinas_Scenario_Calc'!K54</f>
        <v>#DIV/0!</v>
      </c>
      <c r="G45" s="76" t="e">
        <f>'Z_EU Marinas_Scenario_Calc'!L54</f>
        <v>#DIV/0!</v>
      </c>
      <c r="H45" s="76" t="e">
        <f>'Z_EU Marinas_Scenario_Calc'!M54</f>
        <v>#DIV/0!</v>
      </c>
      <c r="I45" s="76" t="e">
        <f>'Z_EU Marinas_Scenario_Calc'!N54</f>
        <v>#DIV/0!</v>
      </c>
      <c r="J45" s="76" t="e">
        <f>'Z_EU Marinas_Scenario_Calc'!S54</f>
        <v>#DIV/0!</v>
      </c>
      <c r="K45" s="76" t="e">
        <f>'Z_EU Marinas_Scenario_Calc'!T54</f>
        <v>#DIV/0!</v>
      </c>
      <c r="L45" s="76" t="e">
        <f>'Z_EU Marinas_Scenario_Calc'!U54</f>
        <v>#DIV/0!</v>
      </c>
      <c r="M45" s="76" t="e">
        <f>'Z_EU Marinas_Scenario_Calc'!V54</f>
        <v>#DIV/0!</v>
      </c>
    </row>
    <row r="46" spans="2:13" ht="14.25" x14ac:dyDescent="0.2">
      <c r="B46" s="103" t="s">
        <v>152</v>
      </c>
      <c r="C46" s="75" t="s">
        <v>13</v>
      </c>
      <c r="D46" s="75">
        <v>34</v>
      </c>
      <c r="E46" s="103" t="str">
        <f t="shared" si="0"/>
        <v>Zineb</v>
      </c>
      <c r="F46" s="76" t="e">
        <f>'Z_EU Marinas_Scenario_Calc'!K55</f>
        <v>#DIV/0!</v>
      </c>
      <c r="G46" s="76" t="e">
        <f>'Z_EU Marinas_Scenario_Calc'!L55</f>
        <v>#DIV/0!</v>
      </c>
      <c r="H46" s="76" t="e">
        <f>'Z_EU Marinas_Scenario_Calc'!M55</f>
        <v>#DIV/0!</v>
      </c>
      <c r="I46" s="76" t="e">
        <f>'Z_EU Marinas_Scenario_Calc'!N55</f>
        <v>#DIV/0!</v>
      </c>
      <c r="J46" s="76" t="e">
        <f>'Z_EU Marinas_Scenario_Calc'!S55</f>
        <v>#DIV/0!</v>
      </c>
      <c r="K46" s="76" t="e">
        <f>'Z_EU Marinas_Scenario_Calc'!T55</f>
        <v>#DIV/0!</v>
      </c>
      <c r="L46" s="76" t="e">
        <f>'Z_EU Marinas_Scenario_Calc'!U55</f>
        <v>#DIV/0!</v>
      </c>
      <c r="M46" s="76" t="e">
        <f>'Z_EU Marinas_Scenario_Calc'!V55</f>
        <v>#DIV/0!</v>
      </c>
    </row>
    <row r="47" spans="2:13" ht="14.25" x14ac:dyDescent="0.2">
      <c r="B47" s="103" t="s">
        <v>153</v>
      </c>
      <c r="C47" s="75" t="s">
        <v>13</v>
      </c>
      <c r="D47" s="75">
        <v>40</v>
      </c>
      <c r="E47" s="103" t="str">
        <f t="shared" si="0"/>
        <v>Zineb</v>
      </c>
      <c r="F47" s="76" t="e">
        <f>'Z_EU Marinas_Scenario_Calc'!K56</f>
        <v>#DIV/0!</v>
      </c>
      <c r="G47" s="76" t="e">
        <f>'Z_EU Marinas_Scenario_Calc'!L56</f>
        <v>#DIV/0!</v>
      </c>
      <c r="H47" s="76" t="e">
        <f>'Z_EU Marinas_Scenario_Calc'!M56</f>
        <v>#DIV/0!</v>
      </c>
      <c r="I47" s="76" t="e">
        <f>'Z_EU Marinas_Scenario_Calc'!N56</f>
        <v>#DIV/0!</v>
      </c>
      <c r="J47" s="76" t="e">
        <f>'Z_EU Marinas_Scenario_Calc'!S56</f>
        <v>#DIV/0!</v>
      </c>
      <c r="K47" s="76" t="e">
        <f>'Z_EU Marinas_Scenario_Calc'!T56</f>
        <v>#DIV/0!</v>
      </c>
      <c r="L47" s="76" t="e">
        <f>'Z_EU Marinas_Scenario_Calc'!U56</f>
        <v>#DIV/0!</v>
      </c>
      <c r="M47" s="76" t="e">
        <f>'Z_EU Marinas_Scenario_Calc'!V56</f>
        <v>#DIV/0!</v>
      </c>
    </row>
    <row r="48" spans="2:13" ht="14.25" x14ac:dyDescent="0.2">
      <c r="B48" s="103" t="s">
        <v>154</v>
      </c>
      <c r="C48" s="75" t="s">
        <v>13</v>
      </c>
      <c r="D48" s="75">
        <v>42</v>
      </c>
      <c r="E48" s="103" t="str">
        <f t="shared" si="0"/>
        <v>Zineb</v>
      </c>
      <c r="F48" s="76" t="e">
        <f>'Z_EU Marinas_Scenario_Calc'!K57</f>
        <v>#DIV/0!</v>
      </c>
      <c r="G48" s="76" t="e">
        <f>'Z_EU Marinas_Scenario_Calc'!L57</f>
        <v>#DIV/0!</v>
      </c>
      <c r="H48" s="76" t="e">
        <f>'Z_EU Marinas_Scenario_Calc'!M57</f>
        <v>#DIV/0!</v>
      </c>
      <c r="I48" s="76" t="e">
        <f>'Z_EU Marinas_Scenario_Calc'!N57</f>
        <v>#DIV/0!</v>
      </c>
      <c r="J48" s="76" t="e">
        <f>'Z_EU Marinas_Scenario_Calc'!S57</f>
        <v>#DIV/0!</v>
      </c>
      <c r="K48" s="76" t="e">
        <f>'Z_EU Marinas_Scenario_Calc'!T57</f>
        <v>#DIV/0!</v>
      </c>
      <c r="L48" s="76" t="e">
        <f>'Z_EU Marinas_Scenario_Calc'!U57</f>
        <v>#DIV/0!</v>
      </c>
      <c r="M48" s="76" t="e">
        <f>'Z_EU Marinas_Scenario_Calc'!V57</f>
        <v>#DIV/0!</v>
      </c>
    </row>
    <row r="49" spans="2:15" ht="14.25" x14ac:dyDescent="0.2">
      <c r="B49" s="103" t="s">
        <v>155</v>
      </c>
      <c r="C49" s="75" t="s">
        <v>13</v>
      </c>
      <c r="D49" s="75">
        <v>44</v>
      </c>
      <c r="E49" s="103" t="str">
        <f t="shared" si="0"/>
        <v>Zineb</v>
      </c>
      <c r="F49" s="76" t="e">
        <f>'Z_EU Marinas_Scenario_Calc'!K58</f>
        <v>#DIV/0!</v>
      </c>
      <c r="G49" s="76" t="e">
        <f>'Z_EU Marinas_Scenario_Calc'!L58</f>
        <v>#DIV/0!</v>
      </c>
      <c r="H49" s="76" t="e">
        <f>'Z_EU Marinas_Scenario_Calc'!M58</f>
        <v>#DIV/0!</v>
      </c>
      <c r="I49" s="76" t="e">
        <f>'Z_EU Marinas_Scenario_Calc'!N58</f>
        <v>#DIV/0!</v>
      </c>
      <c r="J49" s="76" t="e">
        <f>'Z_EU Marinas_Scenario_Calc'!S58</f>
        <v>#DIV/0!</v>
      </c>
      <c r="K49" s="76" t="e">
        <f>'Z_EU Marinas_Scenario_Calc'!T58</f>
        <v>#DIV/0!</v>
      </c>
      <c r="L49" s="76" t="e">
        <f>'Z_EU Marinas_Scenario_Calc'!U58</f>
        <v>#DIV/0!</v>
      </c>
      <c r="M49" s="76" t="e">
        <f>'Z_EU Marinas_Scenario_Calc'!V58</f>
        <v>#DIV/0!</v>
      </c>
    </row>
    <row r="50" spans="2:15" ht="14.25" x14ac:dyDescent="0.2">
      <c r="B50" s="103" t="s">
        <v>156</v>
      </c>
      <c r="C50" s="75" t="s">
        <v>13</v>
      </c>
      <c r="D50" s="75">
        <v>45</v>
      </c>
      <c r="E50" s="103" t="str">
        <f t="shared" si="0"/>
        <v>Zineb</v>
      </c>
      <c r="F50" s="76" t="e">
        <f>'Z_EU Marinas_Scenario_Calc'!K59</f>
        <v>#DIV/0!</v>
      </c>
      <c r="G50" s="76" t="e">
        <f>'Z_EU Marinas_Scenario_Calc'!L59</f>
        <v>#DIV/0!</v>
      </c>
      <c r="H50" s="76" t="e">
        <f>'Z_EU Marinas_Scenario_Calc'!M59</f>
        <v>#DIV/0!</v>
      </c>
      <c r="I50" s="76" t="e">
        <f>'Z_EU Marinas_Scenario_Calc'!N59</f>
        <v>#DIV/0!</v>
      </c>
      <c r="J50" s="76" t="e">
        <f>'Z_EU Marinas_Scenario_Calc'!S59</f>
        <v>#DIV/0!</v>
      </c>
      <c r="K50" s="76" t="e">
        <f>'Z_EU Marinas_Scenario_Calc'!T59</f>
        <v>#DIV/0!</v>
      </c>
      <c r="L50" s="76" t="e">
        <f>'Z_EU Marinas_Scenario_Calc'!U59</f>
        <v>#DIV/0!</v>
      </c>
      <c r="M50" s="76" t="e">
        <f>'Z_EU Marinas_Scenario_Calc'!V59</f>
        <v>#DIV/0!</v>
      </c>
    </row>
    <row r="51" spans="2:15" ht="14.25" x14ac:dyDescent="0.2">
      <c r="B51" s="103" t="s">
        <v>157</v>
      </c>
      <c r="C51" s="75" t="s">
        <v>13</v>
      </c>
      <c r="D51" s="75">
        <v>46</v>
      </c>
      <c r="E51" s="103" t="str">
        <f t="shared" si="0"/>
        <v>Zineb</v>
      </c>
      <c r="F51" s="76" t="e">
        <f>'Z_EU Marinas_Scenario_Calc'!K60</f>
        <v>#DIV/0!</v>
      </c>
      <c r="G51" s="76" t="e">
        <f>'Z_EU Marinas_Scenario_Calc'!L60</f>
        <v>#DIV/0!</v>
      </c>
      <c r="H51" s="76" t="e">
        <f>'Z_EU Marinas_Scenario_Calc'!M60</f>
        <v>#DIV/0!</v>
      </c>
      <c r="I51" s="76" t="e">
        <f>'Z_EU Marinas_Scenario_Calc'!N60</f>
        <v>#DIV/0!</v>
      </c>
      <c r="J51" s="76" t="e">
        <f>'Z_EU Marinas_Scenario_Calc'!S60</f>
        <v>#DIV/0!</v>
      </c>
      <c r="K51" s="76" t="e">
        <f>'Z_EU Marinas_Scenario_Calc'!T60</f>
        <v>#DIV/0!</v>
      </c>
      <c r="L51" s="76" t="e">
        <f>'Z_EU Marinas_Scenario_Calc'!U60</f>
        <v>#DIV/0!</v>
      </c>
      <c r="M51" s="76" t="e">
        <f>'Z_EU Marinas_Scenario_Calc'!V60</f>
        <v>#DIV/0!</v>
      </c>
    </row>
    <row r="52" spans="2:15" ht="14.25" x14ac:dyDescent="0.2">
      <c r="B52" s="103" t="s">
        <v>158</v>
      </c>
      <c r="C52" s="75" t="s">
        <v>13</v>
      </c>
      <c r="D52" s="75">
        <v>48</v>
      </c>
      <c r="E52" s="103" t="str">
        <f t="shared" si="0"/>
        <v>Zineb</v>
      </c>
      <c r="F52" s="76" t="e">
        <f>'Z_EU Marinas_Scenario_Calc'!K61</f>
        <v>#DIV/0!</v>
      </c>
      <c r="G52" s="76" t="e">
        <f>'Z_EU Marinas_Scenario_Calc'!L61</f>
        <v>#DIV/0!</v>
      </c>
      <c r="H52" s="76" t="e">
        <f>'Z_EU Marinas_Scenario_Calc'!M61</f>
        <v>#DIV/0!</v>
      </c>
      <c r="I52" s="76" t="e">
        <f>'Z_EU Marinas_Scenario_Calc'!N61</f>
        <v>#DIV/0!</v>
      </c>
      <c r="J52" s="76" t="e">
        <f>'Z_EU Marinas_Scenario_Calc'!S61</f>
        <v>#DIV/0!</v>
      </c>
      <c r="K52" s="76" t="e">
        <f>'Z_EU Marinas_Scenario_Calc'!T61</f>
        <v>#DIV/0!</v>
      </c>
      <c r="L52" s="76" t="e">
        <f>'Z_EU Marinas_Scenario_Calc'!U61</f>
        <v>#DIV/0!</v>
      </c>
      <c r="M52" s="76" t="e">
        <f>'Z_EU Marinas_Scenario_Calc'!V61</f>
        <v>#DIV/0!</v>
      </c>
    </row>
    <row r="53" spans="2:15" ht="14.25" x14ac:dyDescent="0.2">
      <c r="B53" s="103" t="s">
        <v>159</v>
      </c>
      <c r="C53" s="75" t="s">
        <v>160</v>
      </c>
      <c r="D53" s="75">
        <v>1</v>
      </c>
      <c r="E53" s="103" t="str">
        <f t="shared" si="0"/>
        <v>Zineb</v>
      </c>
      <c r="F53" s="76" t="e">
        <f>'Z_EU Marinas_Scenario_Calc'!K62</f>
        <v>#DIV/0!</v>
      </c>
      <c r="G53" s="76" t="e">
        <f>'Z_EU Marinas_Scenario_Calc'!L62</f>
        <v>#DIV/0!</v>
      </c>
      <c r="H53" s="76" t="e">
        <f>'Z_EU Marinas_Scenario_Calc'!M62</f>
        <v>#DIV/0!</v>
      </c>
      <c r="I53" s="76" t="e">
        <f>'Z_EU Marinas_Scenario_Calc'!N62</f>
        <v>#DIV/0!</v>
      </c>
      <c r="J53" s="76" t="e">
        <f>'Z_EU Marinas_Scenario_Calc'!S62</f>
        <v>#DIV/0!</v>
      </c>
      <c r="K53" s="76" t="e">
        <f>'Z_EU Marinas_Scenario_Calc'!T62</f>
        <v>#DIV/0!</v>
      </c>
      <c r="L53" s="76" t="e">
        <f>'Z_EU Marinas_Scenario_Calc'!U62</f>
        <v>#DIV/0!</v>
      </c>
      <c r="M53" s="76" t="e">
        <f>'Z_EU Marinas_Scenario_Calc'!V62</f>
        <v>#DIV/0!</v>
      </c>
    </row>
    <row r="54" spans="2:15" ht="14.25" x14ac:dyDescent="0.2">
      <c r="B54" s="103" t="s">
        <v>161</v>
      </c>
      <c r="C54" s="75" t="s">
        <v>160</v>
      </c>
      <c r="D54" s="75">
        <v>2</v>
      </c>
      <c r="E54" s="103" t="str">
        <f t="shared" si="0"/>
        <v>Zineb</v>
      </c>
      <c r="F54" s="76" t="e">
        <f>'Z_EU Marinas_Scenario_Calc'!K63</f>
        <v>#DIV/0!</v>
      </c>
      <c r="G54" s="76" t="e">
        <f>'Z_EU Marinas_Scenario_Calc'!L63</f>
        <v>#DIV/0!</v>
      </c>
      <c r="H54" s="76" t="e">
        <f>'Z_EU Marinas_Scenario_Calc'!M63</f>
        <v>#DIV/0!</v>
      </c>
      <c r="I54" s="76" t="e">
        <f>'Z_EU Marinas_Scenario_Calc'!N63</f>
        <v>#DIV/0!</v>
      </c>
      <c r="J54" s="76" t="e">
        <f>'Z_EU Marinas_Scenario_Calc'!S63</f>
        <v>#DIV/0!</v>
      </c>
      <c r="K54" s="76" t="e">
        <f>'Z_EU Marinas_Scenario_Calc'!T63</f>
        <v>#DIV/0!</v>
      </c>
      <c r="L54" s="76" t="e">
        <f>'Z_EU Marinas_Scenario_Calc'!U63</f>
        <v>#DIV/0!</v>
      </c>
      <c r="M54" s="76" t="e">
        <f>'Z_EU Marinas_Scenario_Calc'!V63</f>
        <v>#DIV/0!</v>
      </c>
    </row>
    <row r="55" spans="2:15" ht="14.25" x14ac:dyDescent="0.2">
      <c r="B55" s="103" t="s">
        <v>162</v>
      </c>
      <c r="C55" s="75" t="s">
        <v>160</v>
      </c>
      <c r="D55" s="75">
        <v>3</v>
      </c>
      <c r="E55" s="103" t="str">
        <f t="shared" si="0"/>
        <v>Zineb</v>
      </c>
      <c r="F55" s="76" t="e">
        <f>'Z_EU Marinas_Scenario_Calc'!K64</f>
        <v>#DIV/0!</v>
      </c>
      <c r="G55" s="76" t="e">
        <f>'Z_EU Marinas_Scenario_Calc'!L64</f>
        <v>#DIV/0!</v>
      </c>
      <c r="H55" s="76" t="e">
        <f>'Z_EU Marinas_Scenario_Calc'!M64</f>
        <v>#DIV/0!</v>
      </c>
      <c r="I55" s="76" t="e">
        <f>'Z_EU Marinas_Scenario_Calc'!N64</f>
        <v>#DIV/0!</v>
      </c>
      <c r="J55" s="76" t="e">
        <f>'Z_EU Marinas_Scenario_Calc'!S64</f>
        <v>#DIV/0!</v>
      </c>
      <c r="K55" s="76" t="e">
        <f>'Z_EU Marinas_Scenario_Calc'!T64</f>
        <v>#DIV/0!</v>
      </c>
      <c r="L55" s="76" t="e">
        <f>'Z_EU Marinas_Scenario_Calc'!U64</f>
        <v>#DIV/0!</v>
      </c>
      <c r="M55" s="76" t="e">
        <f>'Z_EU Marinas_Scenario_Calc'!V64</f>
        <v>#DIV/0!</v>
      </c>
    </row>
    <row r="56" spans="2:15" ht="14.25" x14ac:dyDescent="0.2">
      <c r="B56" s="103" t="s">
        <v>163</v>
      </c>
      <c r="C56" s="75" t="s">
        <v>160</v>
      </c>
      <c r="D56" s="75">
        <v>4</v>
      </c>
      <c r="E56" s="103" t="str">
        <f t="shared" si="0"/>
        <v>Zineb</v>
      </c>
      <c r="F56" s="76" t="e">
        <f>'Z_EU Marinas_Scenario_Calc'!K65</f>
        <v>#DIV/0!</v>
      </c>
      <c r="G56" s="76" t="e">
        <f>'Z_EU Marinas_Scenario_Calc'!L65</f>
        <v>#DIV/0!</v>
      </c>
      <c r="H56" s="76" t="e">
        <f>'Z_EU Marinas_Scenario_Calc'!M65</f>
        <v>#DIV/0!</v>
      </c>
      <c r="I56" s="76" t="e">
        <f>'Z_EU Marinas_Scenario_Calc'!N65</f>
        <v>#DIV/0!</v>
      </c>
      <c r="J56" s="76" t="e">
        <f>'Z_EU Marinas_Scenario_Calc'!S65</f>
        <v>#DIV/0!</v>
      </c>
      <c r="K56" s="76" t="e">
        <f>'Z_EU Marinas_Scenario_Calc'!T65</f>
        <v>#DIV/0!</v>
      </c>
      <c r="L56" s="76" t="e">
        <f>'Z_EU Marinas_Scenario_Calc'!U65</f>
        <v>#DIV/0!</v>
      </c>
      <c r="M56" s="76" t="e">
        <f>'Z_EU Marinas_Scenario_Calc'!V65</f>
        <v>#DIV/0!</v>
      </c>
    </row>
    <row r="57" spans="2:15" ht="14.25" x14ac:dyDescent="0.2">
      <c r="B57" s="103" t="s">
        <v>164</v>
      </c>
      <c r="C57" s="75" t="s">
        <v>160</v>
      </c>
      <c r="D57" s="75">
        <v>5</v>
      </c>
      <c r="E57" s="103" t="str">
        <f t="shared" si="0"/>
        <v>Zineb</v>
      </c>
      <c r="F57" s="76" t="e">
        <f>'Z_EU Marinas_Scenario_Calc'!K66</f>
        <v>#DIV/0!</v>
      </c>
      <c r="G57" s="76" t="e">
        <f>'Z_EU Marinas_Scenario_Calc'!L66</f>
        <v>#DIV/0!</v>
      </c>
      <c r="H57" s="76" t="e">
        <f>'Z_EU Marinas_Scenario_Calc'!M66</f>
        <v>#DIV/0!</v>
      </c>
      <c r="I57" s="76" t="e">
        <f>'Z_EU Marinas_Scenario_Calc'!N66</f>
        <v>#DIV/0!</v>
      </c>
      <c r="J57" s="76" t="e">
        <f>'Z_EU Marinas_Scenario_Calc'!S66</f>
        <v>#DIV/0!</v>
      </c>
      <c r="K57" s="76" t="e">
        <f>'Z_EU Marinas_Scenario_Calc'!T66</f>
        <v>#DIV/0!</v>
      </c>
      <c r="L57" s="76" t="e">
        <f>'Z_EU Marinas_Scenario_Calc'!U66</f>
        <v>#DIV/0!</v>
      </c>
      <c r="M57" s="76" t="e">
        <f>'Z_EU Marinas_Scenario_Calc'!V66</f>
        <v>#DIV/0!</v>
      </c>
    </row>
    <row r="58" spans="2:15" x14ac:dyDescent="0.2">
      <c r="B58" s="187" t="s">
        <v>84</v>
      </c>
      <c r="C58" s="187"/>
      <c r="D58" s="187"/>
      <c r="E58" s="187"/>
      <c r="F58" s="77" t="e">
        <f>'Z_EU Marinas_Scenario_Calc'!K69</f>
        <v>#DIV/0!</v>
      </c>
      <c r="G58" s="77" t="e">
        <f>'Z_EU Marinas_Scenario_Calc'!L69</f>
        <v>#DIV/0!</v>
      </c>
      <c r="H58" s="77" t="e">
        <f>'Z_EU Marinas_Scenario_Calc'!M69</f>
        <v>#DIV/0!</v>
      </c>
      <c r="I58" s="77" t="e">
        <f>'Z_EU Marinas_Scenario_Calc'!N69</f>
        <v>#DIV/0!</v>
      </c>
      <c r="J58" s="77" t="e">
        <f>'Z_EU Marinas_Scenario_Calc'!S69</f>
        <v>#DIV/0!</v>
      </c>
      <c r="K58" s="77" t="e">
        <f>'Z_EU Marinas_Scenario_Calc'!T69</f>
        <v>#DIV/0!</v>
      </c>
      <c r="L58" s="77" t="e">
        <f>'Z_EU Marinas_Scenario_Calc'!U69</f>
        <v>#DIV/0!</v>
      </c>
      <c r="M58" s="77" t="e">
        <f>'Z_EU Marinas_Scenario_Calc'!V69</f>
        <v>#DIV/0!</v>
      </c>
    </row>
    <row r="59" spans="2:15" x14ac:dyDescent="0.2">
      <c r="B59" s="187" t="s">
        <v>14</v>
      </c>
      <c r="C59" s="187"/>
      <c r="D59" s="187"/>
      <c r="E59" s="187"/>
      <c r="F59" s="77" t="e">
        <f>'Z_EU Marinas_Scenario_Calc'!K67</f>
        <v>#DIV/0!</v>
      </c>
      <c r="G59" s="77" t="e">
        <f>'Z_EU Marinas_Scenario_Calc'!L67</f>
        <v>#DIV/0!</v>
      </c>
      <c r="H59" s="77" t="e">
        <f>'Z_EU Marinas_Scenario_Calc'!M67</f>
        <v>#DIV/0!</v>
      </c>
      <c r="I59" s="77" t="e">
        <f>'Z_EU Marinas_Scenario_Calc'!N67</f>
        <v>#DIV/0!</v>
      </c>
      <c r="J59" s="77" t="e">
        <f>'Z_EU Marinas_Scenario_Calc'!S67</f>
        <v>#DIV/0!</v>
      </c>
      <c r="K59" s="77" t="e">
        <f>'Z_EU Marinas_Scenario_Calc'!T67</f>
        <v>#DIV/0!</v>
      </c>
      <c r="L59" s="77" t="e">
        <f>'Z_EU Marinas_Scenario_Calc'!U67</f>
        <v>#DIV/0!</v>
      </c>
      <c r="M59" s="77" t="e">
        <f>'Z_EU Marinas_Scenario_Calc'!V67</f>
        <v>#DIV/0!</v>
      </c>
    </row>
    <row r="60" spans="2:15" x14ac:dyDescent="0.2">
      <c r="B60" s="187" t="s">
        <v>15</v>
      </c>
      <c r="C60" s="187"/>
      <c r="D60" s="187"/>
      <c r="E60" s="187"/>
      <c r="F60" s="77" t="e">
        <f>'Z_EU Marinas_Scenario_Calc'!K68</f>
        <v>#DIV/0!</v>
      </c>
      <c r="G60" s="77" t="e">
        <f>'Z_EU Marinas_Scenario_Calc'!L68</f>
        <v>#DIV/0!</v>
      </c>
      <c r="H60" s="77" t="e">
        <f>'Z_EU Marinas_Scenario_Calc'!M68</f>
        <v>#DIV/0!</v>
      </c>
      <c r="I60" s="77" t="e">
        <f>'Z_EU Marinas_Scenario_Calc'!N68</f>
        <v>#DIV/0!</v>
      </c>
      <c r="J60" s="77" t="e">
        <f>'Z_EU Marinas_Scenario_Calc'!S68</f>
        <v>#DIV/0!</v>
      </c>
      <c r="K60" s="77" t="e">
        <f>'Z_EU Marinas_Scenario_Calc'!T68</f>
        <v>#DIV/0!</v>
      </c>
      <c r="L60" s="77" t="e">
        <f>'Z_EU Marinas_Scenario_Calc'!U68</f>
        <v>#DIV/0!</v>
      </c>
      <c r="M60" s="77" t="e">
        <f>'Z_EU Marinas_Scenario_Calc'!V68</f>
        <v>#DIV/0!</v>
      </c>
    </row>
    <row r="61" spans="2:15" x14ac:dyDescent="0.2">
      <c r="B61" s="91"/>
      <c r="C61" s="91"/>
      <c r="D61" s="91"/>
      <c r="E61" s="91"/>
      <c r="F61" s="91"/>
      <c r="G61" s="91"/>
      <c r="H61" s="91"/>
      <c r="I61" s="91"/>
      <c r="J61" s="91"/>
      <c r="K61" s="91"/>
      <c r="L61" s="91"/>
      <c r="M61" s="91"/>
    </row>
    <row r="62" spans="2:15" x14ac:dyDescent="0.2">
      <c r="B62" s="67"/>
      <c r="C62" s="67"/>
      <c r="D62" s="67"/>
      <c r="E62" s="68"/>
      <c r="F62" s="69"/>
      <c r="G62" s="69"/>
      <c r="H62" s="69"/>
      <c r="I62" s="69"/>
      <c r="J62" s="67"/>
      <c r="K62" s="67"/>
      <c r="L62" s="67"/>
      <c r="M62" s="67"/>
      <c r="N62" s="15"/>
      <c r="O62" s="15"/>
    </row>
    <row r="63" spans="2:15" x14ac:dyDescent="0.2">
      <c r="B63" s="67"/>
      <c r="C63" s="67"/>
      <c r="D63" s="67"/>
      <c r="E63" s="68"/>
      <c r="F63" s="69"/>
      <c r="G63" s="69"/>
      <c r="H63" s="69"/>
      <c r="I63" s="69"/>
      <c r="J63" s="67"/>
      <c r="K63" s="67"/>
      <c r="L63" s="67"/>
      <c r="M63" s="67"/>
      <c r="N63" s="15"/>
      <c r="O63" s="15"/>
    </row>
    <row r="64" spans="2:15" x14ac:dyDescent="0.2">
      <c r="B64" s="67"/>
      <c r="C64" s="67"/>
      <c r="D64" s="67"/>
      <c r="E64" s="68"/>
      <c r="F64" s="69"/>
      <c r="G64" s="69"/>
      <c r="H64" s="69"/>
      <c r="I64" s="69"/>
      <c r="J64" s="67"/>
      <c r="K64" s="67"/>
      <c r="L64" s="67"/>
      <c r="M64" s="67"/>
      <c r="N64" s="15"/>
      <c r="O64" s="15"/>
    </row>
    <row r="65" spans="2:15" x14ac:dyDescent="0.2">
      <c r="B65" s="67"/>
      <c r="C65" s="67"/>
      <c r="D65" s="67"/>
      <c r="E65" s="68"/>
      <c r="F65" s="69"/>
      <c r="G65" s="69"/>
      <c r="H65" s="69"/>
      <c r="I65" s="69"/>
      <c r="J65" s="67"/>
      <c r="K65" s="67"/>
      <c r="L65" s="67"/>
      <c r="M65" s="67"/>
      <c r="N65" s="15"/>
      <c r="O65" s="15"/>
    </row>
    <row r="66" spans="2:15" x14ac:dyDescent="0.2">
      <c r="B66" s="67"/>
      <c r="C66" s="67"/>
      <c r="D66" s="67"/>
      <c r="E66" s="68"/>
      <c r="F66" s="69"/>
      <c r="G66" s="69"/>
      <c r="H66" s="69"/>
      <c r="I66" s="69"/>
      <c r="J66" s="67"/>
      <c r="K66" s="67"/>
      <c r="L66" s="67"/>
      <c r="M66" s="67"/>
      <c r="N66" s="15"/>
      <c r="O66" s="15"/>
    </row>
    <row r="67" spans="2:15" x14ac:dyDescent="0.2">
      <c r="B67" s="67"/>
      <c r="C67" s="67"/>
      <c r="D67" s="67"/>
      <c r="E67" s="68"/>
      <c r="F67" s="69"/>
      <c r="G67" s="69"/>
      <c r="H67" s="69"/>
      <c r="I67" s="69"/>
      <c r="J67" s="67"/>
      <c r="K67" s="67"/>
      <c r="L67" s="67"/>
      <c r="M67" s="67"/>
      <c r="N67" s="15"/>
      <c r="O67" s="15"/>
    </row>
    <row r="68" spans="2:15" x14ac:dyDescent="0.2">
      <c r="B68" s="67"/>
      <c r="C68" s="67"/>
      <c r="D68" s="67"/>
      <c r="E68" s="68"/>
      <c r="F68" s="69"/>
      <c r="G68" s="69"/>
      <c r="H68" s="69"/>
      <c r="I68" s="69"/>
      <c r="J68" s="67"/>
      <c r="K68" s="67"/>
      <c r="L68" s="67"/>
      <c r="M68" s="67"/>
      <c r="N68" s="15"/>
      <c r="O68" s="15"/>
    </row>
    <row r="69" spans="2:15" x14ac:dyDescent="0.2">
      <c r="B69" s="67"/>
      <c r="C69" s="67"/>
      <c r="D69" s="67"/>
      <c r="E69" s="68"/>
      <c r="F69" s="69"/>
      <c r="G69" s="69"/>
      <c r="H69" s="69"/>
      <c r="I69" s="69"/>
      <c r="J69" s="67"/>
      <c r="K69" s="67"/>
      <c r="L69" s="67"/>
      <c r="M69" s="67"/>
      <c r="N69" s="15"/>
      <c r="O69" s="15"/>
    </row>
    <row r="70" spans="2:15" x14ac:dyDescent="0.2">
      <c r="B70" s="67"/>
      <c r="C70" s="67"/>
      <c r="D70" s="67"/>
      <c r="E70" s="68"/>
      <c r="F70" s="69"/>
      <c r="G70" s="69"/>
      <c r="H70" s="69"/>
      <c r="I70" s="69"/>
      <c r="J70" s="67"/>
      <c r="K70" s="67"/>
      <c r="L70" s="67"/>
      <c r="M70" s="67"/>
      <c r="N70" s="15"/>
      <c r="O70" s="15"/>
    </row>
    <row r="71" spans="2:15" x14ac:dyDescent="0.2">
      <c r="B71" s="67"/>
      <c r="C71" s="67"/>
      <c r="D71" s="67"/>
      <c r="E71" s="68"/>
      <c r="F71" s="69"/>
      <c r="G71" s="69"/>
      <c r="H71" s="69"/>
      <c r="I71" s="69"/>
      <c r="J71" s="67"/>
      <c r="K71" s="67"/>
      <c r="L71" s="67"/>
      <c r="M71" s="67"/>
      <c r="N71" s="15"/>
      <c r="O71" s="15"/>
    </row>
    <row r="72" spans="2:15" x14ac:dyDescent="0.2">
      <c r="B72" s="67"/>
      <c r="C72" s="67"/>
      <c r="D72" s="67"/>
      <c r="E72" s="68"/>
      <c r="F72" s="69"/>
      <c r="G72" s="69"/>
      <c r="H72" s="69"/>
      <c r="I72" s="69"/>
      <c r="J72" s="67"/>
      <c r="K72" s="67"/>
      <c r="L72" s="67"/>
      <c r="M72" s="67"/>
      <c r="N72" s="15"/>
      <c r="O72" s="15"/>
    </row>
    <row r="73" spans="2:15" x14ac:dyDescent="0.2">
      <c r="B73" s="67"/>
      <c r="C73" s="67"/>
      <c r="D73" s="67"/>
      <c r="E73" s="68"/>
      <c r="F73" s="69"/>
      <c r="G73" s="69"/>
      <c r="H73" s="69"/>
      <c r="I73" s="69"/>
      <c r="J73" s="67"/>
      <c r="K73" s="67"/>
      <c r="L73" s="67"/>
      <c r="M73" s="67"/>
      <c r="N73" s="15"/>
      <c r="O73" s="15"/>
    </row>
    <row r="74" spans="2:15" x14ac:dyDescent="0.2">
      <c r="B74" s="67"/>
      <c r="C74" s="67"/>
      <c r="D74" s="67"/>
      <c r="E74" s="68"/>
      <c r="F74" s="69"/>
      <c r="G74" s="69"/>
      <c r="H74" s="69"/>
      <c r="I74" s="69"/>
      <c r="J74" s="67"/>
      <c r="K74" s="67"/>
      <c r="L74" s="67"/>
      <c r="M74" s="67"/>
      <c r="N74" s="15"/>
      <c r="O74" s="15"/>
    </row>
    <row r="75" spans="2:15" x14ac:dyDescent="0.2">
      <c r="B75" s="67"/>
      <c r="C75" s="67"/>
      <c r="D75" s="67"/>
      <c r="E75" s="68"/>
      <c r="F75" s="69"/>
      <c r="G75" s="69"/>
      <c r="H75" s="69"/>
      <c r="I75" s="69"/>
      <c r="J75" s="67"/>
      <c r="K75" s="67"/>
      <c r="L75" s="67"/>
      <c r="M75" s="67"/>
      <c r="N75" s="15"/>
      <c r="O75" s="15"/>
    </row>
    <row r="76" spans="2:15" x14ac:dyDescent="0.2">
      <c r="B76" s="67"/>
      <c r="C76" s="67"/>
      <c r="D76" s="67"/>
      <c r="E76" s="68"/>
      <c r="F76" s="69"/>
      <c r="G76" s="69"/>
      <c r="H76" s="69"/>
      <c r="I76" s="69"/>
      <c r="J76" s="67"/>
      <c r="K76" s="67"/>
      <c r="L76" s="67"/>
      <c r="M76" s="67"/>
      <c r="N76" s="15"/>
      <c r="O76" s="15"/>
    </row>
    <row r="77" spans="2:15" x14ac:dyDescent="0.2">
      <c r="B77" s="15"/>
      <c r="C77" s="15"/>
      <c r="D77" s="15"/>
      <c r="E77" s="15"/>
      <c r="F77" s="15"/>
      <c r="G77" s="15"/>
      <c r="H77" s="15"/>
      <c r="I77" s="15"/>
      <c r="J77" s="15"/>
      <c r="K77" s="15"/>
      <c r="L77" s="15"/>
      <c r="M77" s="15"/>
      <c r="N77" s="15"/>
      <c r="O77" s="15"/>
    </row>
    <row r="78" spans="2:15" x14ac:dyDescent="0.2">
      <c r="B78" s="15"/>
      <c r="C78" s="15"/>
      <c r="D78" s="15"/>
      <c r="E78" s="15"/>
      <c r="F78" s="15"/>
      <c r="G78" s="15"/>
      <c r="H78" s="15"/>
      <c r="I78" s="15"/>
      <c r="J78" s="15"/>
      <c r="K78" s="15"/>
      <c r="L78" s="15"/>
      <c r="M78" s="15"/>
      <c r="N78" s="15"/>
      <c r="O78" s="15"/>
    </row>
  </sheetData>
  <mergeCells count="10">
    <mergeCell ref="B10:M10"/>
    <mergeCell ref="B58:E58"/>
    <mergeCell ref="B59:E59"/>
    <mergeCell ref="B60:E60"/>
    <mergeCell ref="B2:N2"/>
    <mergeCell ref="B4:G4"/>
    <mergeCell ref="B5:F5"/>
    <mergeCell ref="B6:F6"/>
    <mergeCell ref="B7:F7"/>
    <mergeCell ref="B8:F8"/>
  </mergeCells>
  <conditionalFormatting sqref="J12:M60">
    <cfRule type="cellIs" dxfId="11" priority="1" operator="lessThan">
      <formula>1</formula>
    </cfRule>
    <cfRule type="cellIs" dxfId="10" priority="2" operator="greaterThan">
      <formula>1</formula>
    </cfRule>
    <cfRule type="cellIs" dxfId="9" priority="3" operat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1" max="1" width="9" style="91"/>
    <col min="2" max="2" width="28.625" style="91" customWidth="1"/>
    <col min="3" max="3" width="25.625" style="91" customWidth="1"/>
    <col min="4" max="11" width="11.625" style="91" customWidth="1"/>
    <col min="12" max="16384" width="9" style="91"/>
  </cols>
  <sheetData>
    <row r="2" spans="2:12" ht="21" customHeight="1" thickBot="1" x14ac:dyDescent="0.35">
      <c r="B2" s="188" t="s">
        <v>103</v>
      </c>
      <c r="C2" s="188"/>
      <c r="D2" s="188"/>
      <c r="E2" s="188"/>
      <c r="F2" s="188"/>
      <c r="G2" s="188"/>
      <c r="H2" s="188"/>
      <c r="I2" s="188"/>
      <c r="J2" s="188"/>
      <c r="K2" s="188"/>
      <c r="L2" s="188"/>
    </row>
    <row r="3" spans="2:12" ht="13.5" thickTop="1" x14ac:dyDescent="0.2">
      <c r="B3" s="145" t="str">
        <f>Tooltype</f>
        <v>Freshwater calculator tool</v>
      </c>
      <c r="C3" s="3"/>
      <c r="D3" s="3"/>
      <c r="E3" s="3"/>
      <c r="F3" s="3"/>
      <c r="G3" s="3"/>
      <c r="H3" s="3"/>
      <c r="I3" s="3"/>
      <c r="J3" s="3"/>
      <c r="K3" s="3"/>
    </row>
    <row r="4" spans="2:12" ht="15" x14ac:dyDescent="0.2">
      <c r="B4" s="190" t="s">
        <v>88</v>
      </c>
      <c r="C4" s="190"/>
      <c r="D4" s="190"/>
      <c r="E4" s="190"/>
      <c r="F4" s="3"/>
      <c r="G4" s="3"/>
      <c r="H4" s="3"/>
      <c r="I4" s="3"/>
      <c r="J4" s="3"/>
      <c r="K4" s="3"/>
    </row>
    <row r="5" spans="2:12" x14ac:dyDescent="0.2">
      <c r="B5" s="189" t="s">
        <v>201</v>
      </c>
      <c r="C5" s="189"/>
      <c r="D5" s="189"/>
      <c r="E5" s="104">
        <f>Z_PNEC_Aquatic_Inside</f>
        <v>0.219</v>
      </c>
      <c r="F5" s="3"/>
      <c r="G5" s="3"/>
      <c r="H5" s="3"/>
      <c r="I5" s="3"/>
      <c r="J5" s="3"/>
      <c r="K5" s="3"/>
    </row>
    <row r="6" spans="2:12" x14ac:dyDescent="0.2">
      <c r="B6" s="189" t="s">
        <v>202</v>
      </c>
      <c r="C6" s="189"/>
      <c r="D6" s="189"/>
      <c r="E6" s="104">
        <f>Z_PNEC_Sediment_Inside</f>
        <v>4.5499999999999999E-2</v>
      </c>
      <c r="F6" s="3"/>
      <c r="G6" s="3"/>
      <c r="H6" s="3"/>
      <c r="I6" s="3"/>
      <c r="J6" s="3"/>
      <c r="K6" s="3"/>
    </row>
    <row r="7" spans="2:12" x14ac:dyDescent="0.2">
      <c r="B7" s="189" t="s">
        <v>206</v>
      </c>
      <c r="C7" s="189"/>
      <c r="D7" s="189"/>
      <c r="E7" s="104">
        <f>Z_PNEC_Aquatic_Surrounding</f>
        <v>0.219</v>
      </c>
      <c r="F7" s="3"/>
      <c r="G7" s="3"/>
      <c r="H7" s="3"/>
      <c r="I7" s="3"/>
      <c r="J7" s="3"/>
      <c r="K7" s="3"/>
    </row>
    <row r="8" spans="2:12" x14ac:dyDescent="0.2">
      <c r="B8" s="189" t="s">
        <v>205</v>
      </c>
      <c r="C8" s="189"/>
      <c r="D8" s="189"/>
      <c r="E8" s="104">
        <f>Z_PNEC_Sediment_Surrounding</f>
        <v>4.5499999999999999E-2</v>
      </c>
      <c r="F8" s="3"/>
      <c r="G8" s="3"/>
      <c r="H8" s="3"/>
      <c r="I8" s="3"/>
      <c r="J8" s="3"/>
      <c r="K8" s="3"/>
    </row>
    <row r="9" spans="2:12" ht="13.5" thickBot="1" x14ac:dyDescent="0.25"/>
    <row r="10" spans="2:12" ht="15" x14ac:dyDescent="0.2">
      <c r="B10" s="191" t="s">
        <v>104</v>
      </c>
      <c r="C10" s="192"/>
      <c r="D10" s="192"/>
      <c r="E10" s="192"/>
      <c r="F10" s="192"/>
      <c r="G10" s="192"/>
      <c r="H10" s="192"/>
      <c r="I10" s="192"/>
      <c r="J10" s="192"/>
      <c r="K10" s="192"/>
    </row>
    <row r="11" spans="2:12" ht="99.95" customHeight="1" x14ac:dyDescent="0.2">
      <c r="B11" s="102" t="s">
        <v>9</v>
      </c>
      <c r="C11" s="102" t="s">
        <v>11</v>
      </c>
      <c r="D11" s="13" t="s">
        <v>73</v>
      </c>
      <c r="E11" s="13" t="s">
        <v>207</v>
      </c>
      <c r="F11" s="13" t="s">
        <v>74</v>
      </c>
      <c r="G11" s="13" t="s">
        <v>208</v>
      </c>
      <c r="H11" s="13" t="s">
        <v>209</v>
      </c>
      <c r="I11" s="13" t="s">
        <v>210</v>
      </c>
      <c r="J11" s="13" t="s">
        <v>211</v>
      </c>
      <c r="K11" s="13" t="s">
        <v>212</v>
      </c>
    </row>
    <row r="12" spans="2:12" ht="14.25" x14ac:dyDescent="0.2">
      <c r="B12" s="105" t="s">
        <v>172</v>
      </c>
      <c r="C12" s="105" t="str">
        <f>Z_Compound_Name</f>
        <v>Zineb</v>
      </c>
      <c r="D12" s="54" t="e">
        <f>'Z_Regulatory_ Marinas_Calc'!I21</f>
        <v>#DIV/0!</v>
      </c>
      <c r="E12" s="54" t="e">
        <f>'Z_Regulatory_ Marinas_Calc'!J21</f>
        <v>#DIV/0!</v>
      </c>
      <c r="F12" s="54" t="e">
        <f>'Z_Regulatory_ Marinas_Calc'!K21</f>
        <v>#DIV/0!</v>
      </c>
      <c r="G12" s="54" t="e">
        <f>'Z_Regulatory_ Marinas_Calc'!L21</f>
        <v>#DIV/0!</v>
      </c>
      <c r="H12" s="108" t="e">
        <f>'Z_Regulatory_ Marinas_Calc'!Q21</f>
        <v>#DIV/0!</v>
      </c>
      <c r="I12" s="108" t="e">
        <f>'Z_Regulatory_ Marinas_Calc'!R21</f>
        <v>#DIV/0!</v>
      </c>
      <c r="J12" s="108" t="e">
        <f>'Z_Regulatory_ Marinas_Calc'!S21</f>
        <v>#DIV/0!</v>
      </c>
      <c r="K12" s="108" t="e">
        <f>'Z_Regulatory_ Marinas_Calc'!T21</f>
        <v>#DIV/0!</v>
      </c>
    </row>
    <row r="13" spans="2:12" ht="14.25" x14ac:dyDescent="0.2">
      <c r="B13" s="105" t="s">
        <v>173</v>
      </c>
      <c r="C13" s="105" t="str">
        <f>Z_Compound_Name</f>
        <v>Zineb</v>
      </c>
      <c r="D13" s="54" t="e">
        <f>'Z_Regulatory_ Marinas_Calc'!I22</f>
        <v>#DIV/0!</v>
      </c>
      <c r="E13" s="54" t="e">
        <f>'Z_Regulatory_ Marinas_Calc'!J22</f>
        <v>#DIV/0!</v>
      </c>
      <c r="F13" s="54" t="e">
        <f>'Z_Regulatory_ Marinas_Calc'!K22</f>
        <v>#DIV/0!</v>
      </c>
      <c r="G13" s="54" t="e">
        <f>'Z_Regulatory_ Marinas_Calc'!L22</f>
        <v>#DIV/0!</v>
      </c>
      <c r="H13" s="108" t="e">
        <f>'Z_Regulatory_ Marinas_Calc'!Q22</f>
        <v>#DIV/0!</v>
      </c>
      <c r="I13" s="108" t="e">
        <f>'Z_Regulatory_ Marinas_Calc'!R22</f>
        <v>#DIV/0!</v>
      </c>
      <c r="J13" s="108" t="e">
        <f>'Z_Regulatory_ Marinas_Calc'!S22</f>
        <v>#DIV/0!</v>
      </c>
      <c r="K13" s="108" t="e">
        <f>'Z_Regulatory_ Marinas_Calc'!T22</f>
        <v>#DIV/0!</v>
      </c>
    </row>
  </sheetData>
  <mergeCells count="7">
    <mergeCell ref="B10:K10"/>
    <mergeCell ref="B2:L2"/>
    <mergeCell ref="B4:E4"/>
    <mergeCell ref="B5:D5"/>
    <mergeCell ref="B6:D6"/>
    <mergeCell ref="B7:D7"/>
    <mergeCell ref="B8:D8"/>
  </mergeCells>
  <conditionalFormatting sqref="H12:K13">
    <cfRule type="cellIs" dxfId="8" priority="1" operator="lessThan">
      <formula>1</formula>
    </cfRule>
    <cfRule type="cellIs" dxfId="7" priority="2" operator="greaterThan">
      <formula>1</formula>
    </cfRule>
    <cfRule type="cellIs" dxfId="6" priority="3" operator="equal">
      <formula>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4" style="3" bestFit="1" customWidth="1"/>
    <col min="4" max="4" width="6.375" style="3" customWidth="1"/>
    <col min="5" max="5" width="25.625" style="3" customWidth="1"/>
    <col min="6" max="13" width="11.625" style="3" customWidth="1"/>
    <col min="14" max="16384" width="9" style="3"/>
  </cols>
  <sheetData>
    <row r="2" spans="2:14" ht="21" thickBot="1" x14ac:dyDescent="0.35">
      <c r="B2" s="188" t="s">
        <v>103</v>
      </c>
      <c r="C2" s="188"/>
      <c r="D2" s="188"/>
      <c r="E2" s="188"/>
      <c r="F2" s="188"/>
      <c r="G2" s="188"/>
      <c r="H2" s="188"/>
      <c r="I2" s="188"/>
      <c r="J2" s="188"/>
      <c r="K2" s="188"/>
      <c r="L2" s="188"/>
      <c r="M2" s="188"/>
      <c r="N2" s="188"/>
    </row>
    <row r="3" spans="2:14" ht="13.5" thickTop="1" x14ac:dyDescent="0.2">
      <c r="B3" s="145" t="str">
        <f>Tooltype</f>
        <v>Freshwater calculator tool</v>
      </c>
      <c r="C3" s="91"/>
      <c r="D3" s="91"/>
      <c r="E3" s="91"/>
      <c r="F3" s="91"/>
      <c r="G3" s="91"/>
      <c r="H3" s="91"/>
      <c r="I3" s="91"/>
      <c r="J3" s="91"/>
      <c r="K3" s="91"/>
      <c r="L3" s="91"/>
      <c r="M3" s="91"/>
    </row>
    <row r="4" spans="2:14" ht="15" x14ac:dyDescent="0.2">
      <c r="B4" s="190" t="s">
        <v>88</v>
      </c>
      <c r="C4" s="190"/>
      <c r="D4" s="190"/>
      <c r="E4" s="190"/>
      <c r="F4" s="190"/>
      <c r="G4" s="190"/>
      <c r="H4" s="91"/>
      <c r="I4" s="91"/>
      <c r="J4" s="91"/>
      <c r="K4" s="91"/>
      <c r="L4" s="91"/>
      <c r="M4" s="91"/>
    </row>
    <row r="5" spans="2:14" x14ac:dyDescent="0.2">
      <c r="B5" s="189" t="s">
        <v>201</v>
      </c>
      <c r="C5" s="189"/>
      <c r="D5" s="189"/>
      <c r="E5" s="189"/>
      <c r="F5" s="189"/>
      <c r="G5" s="104">
        <f>D_PNEC_Aquatic_Inside</f>
        <v>0.18</v>
      </c>
      <c r="I5" s="91"/>
      <c r="J5" s="91"/>
      <c r="K5" s="91"/>
      <c r="L5" s="91"/>
      <c r="M5" s="91"/>
    </row>
    <row r="6" spans="2:14" x14ac:dyDescent="0.2">
      <c r="B6" s="189" t="s">
        <v>202</v>
      </c>
      <c r="C6" s="189"/>
      <c r="D6" s="189"/>
      <c r="E6" s="189"/>
      <c r="F6" s="189"/>
      <c r="G6" s="104">
        <f>D_PNEC_Sediment_Inside</f>
        <v>1.3699999999999999E-3</v>
      </c>
      <c r="I6" s="91"/>
      <c r="J6" s="91"/>
      <c r="K6" s="91"/>
      <c r="L6" s="91"/>
      <c r="M6" s="91"/>
    </row>
    <row r="7" spans="2:14" x14ac:dyDescent="0.2">
      <c r="B7" s="189" t="s">
        <v>203</v>
      </c>
      <c r="C7" s="189"/>
      <c r="D7" s="189"/>
      <c r="E7" s="189"/>
      <c r="F7" s="189"/>
      <c r="G7" s="104">
        <f>D_PNEC_Aquatic_Surrounding</f>
        <v>0.18</v>
      </c>
      <c r="I7" s="91"/>
      <c r="J7" s="91"/>
      <c r="K7" s="91"/>
      <c r="L7" s="91"/>
      <c r="M7" s="91"/>
    </row>
    <row r="8" spans="2:14" x14ac:dyDescent="0.2">
      <c r="B8" s="189" t="s">
        <v>204</v>
      </c>
      <c r="C8" s="189"/>
      <c r="D8" s="189"/>
      <c r="E8" s="189"/>
      <c r="F8" s="189"/>
      <c r="G8" s="104">
        <f>D_PNEC_Sediment_Surrounding</f>
        <v>1.3699999999999999E-3</v>
      </c>
      <c r="I8" s="91"/>
      <c r="J8" s="91"/>
      <c r="K8" s="91"/>
      <c r="L8" s="91"/>
      <c r="M8" s="91"/>
    </row>
    <row r="10" spans="2:14" ht="15" x14ac:dyDescent="0.2">
      <c r="B10" s="168" t="s">
        <v>64</v>
      </c>
      <c r="C10" s="168"/>
      <c r="D10" s="168"/>
      <c r="E10" s="168"/>
      <c r="F10" s="168"/>
      <c r="G10" s="168"/>
      <c r="H10" s="168"/>
      <c r="I10" s="168"/>
      <c r="J10" s="168"/>
      <c r="K10" s="168"/>
      <c r="L10" s="168"/>
      <c r="M10" s="168"/>
    </row>
    <row r="11" spans="2:14" ht="99.95" customHeight="1" x14ac:dyDescent="0.2">
      <c r="B11" s="102" t="s">
        <v>9</v>
      </c>
      <c r="C11" s="93" t="s">
        <v>187</v>
      </c>
      <c r="D11" s="93" t="s">
        <v>186</v>
      </c>
      <c r="E11" s="102" t="s">
        <v>11</v>
      </c>
      <c r="F11" s="13" t="s">
        <v>73</v>
      </c>
      <c r="G11" s="13" t="s">
        <v>207</v>
      </c>
      <c r="H11" s="13" t="s">
        <v>74</v>
      </c>
      <c r="I11" s="13" t="s">
        <v>208</v>
      </c>
      <c r="J11" s="13" t="s">
        <v>209</v>
      </c>
      <c r="K11" s="13" t="s">
        <v>210</v>
      </c>
      <c r="L11" s="13" t="s">
        <v>211</v>
      </c>
      <c r="M11" s="13" t="s">
        <v>212</v>
      </c>
    </row>
    <row r="12" spans="2:14" ht="14.25" customHeight="1" x14ac:dyDescent="0.2">
      <c r="B12" s="103" t="s">
        <v>106</v>
      </c>
      <c r="C12" s="75" t="s">
        <v>107</v>
      </c>
      <c r="D12" s="75">
        <v>1</v>
      </c>
      <c r="E12" s="103" t="str">
        <f t="shared" ref="E12:E57" si="0">D_Compound_Name</f>
        <v>DIDT</v>
      </c>
      <c r="F12" s="76" t="e">
        <f>'D_EU Marinas_Scenario_Calc'!K21</f>
        <v>#DIV/0!</v>
      </c>
      <c r="G12" s="76" t="e">
        <f>'D_EU Marinas_Scenario_Calc'!L21</f>
        <v>#DIV/0!</v>
      </c>
      <c r="H12" s="76" t="e">
        <f>'D_EU Marinas_Scenario_Calc'!M21</f>
        <v>#DIV/0!</v>
      </c>
      <c r="I12" s="76" t="e">
        <f>'D_EU Marinas_Scenario_Calc'!N21</f>
        <v>#DIV/0!</v>
      </c>
      <c r="J12" s="76" t="e">
        <f>'D_EU Marinas_Scenario_Calc'!S21</f>
        <v>#DIV/0!</v>
      </c>
      <c r="K12" s="76" t="e">
        <f>'D_EU Marinas_Scenario_Calc'!T21</f>
        <v>#DIV/0!</v>
      </c>
      <c r="L12" s="76" t="e">
        <f>'D_EU Marinas_Scenario_Calc'!U21</f>
        <v>#DIV/0!</v>
      </c>
      <c r="M12" s="76" t="e">
        <f>'D_EU Marinas_Scenario_Calc'!V21</f>
        <v>#DIV/0!</v>
      </c>
    </row>
    <row r="13" spans="2:14" ht="14.25" customHeight="1" x14ac:dyDescent="0.2">
      <c r="B13" s="103" t="s">
        <v>108</v>
      </c>
      <c r="C13" s="75" t="s">
        <v>107</v>
      </c>
      <c r="D13" s="75">
        <v>2</v>
      </c>
      <c r="E13" s="103" t="str">
        <f t="shared" si="0"/>
        <v>DIDT</v>
      </c>
      <c r="F13" s="76" t="e">
        <f>'D_EU Marinas_Scenario_Calc'!K22</f>
        <v>#DIV/0!</v>
      </c>
      <c r="G13" s="76" t="e">
        <f>'D_EU Marinas_Scenario_Calc'!L22</f>
        <v>#DIV/0!</v>
      </c>
      <c r="H13" s="76" t="e">
        <f>'D_EU Marinas_Scenario_Calc'!M22</f>
        <v>#DIV/0!</v>
      </c>
      <c r="I13" s="76" t="e">
        <f>'D_EU Marinas_Scenario_Calc'!N22</f>
        <v>#DIV/0!</v>
      </c>
      <c r="J13" s="76" t="e">
        <f>'D_EU Marinas_Scenario_Calc'!S22</f>
        <v>#DIV/0!</v>
      </c>
      <c r="K13" s="76" t="e">
        <f>'D_EU Marinas_Scenario_Calc'!T22</f>
        <v>#DIV/0!</v>
      </c>
      <c r="L13" s="76" t="e">
        <f>'D_EU Marinas_Scenario_Calc'!U22</f>
        <v>#DIV/0!</v>
      </c>
      <c r="M13" s="76" t="e">
        <f>'D_EU Marinas_Scenario_Calc'!V22</f>
        <v>#DIV/0!</v>
      </c>
    </row>
    <row r="14" spans="2:14" ht="14.25" customHeight="1" x14ac:dyDescent="0.2">
      <c r="B14" s="103" t="s">
        <v>109</v>
      </c>
      <c r="C14" s="75" t="s">
        <v>107</v>
      </c>
      <c r="D14" s="75">
        <v>3</v>
      </c>
      <c r="E14" s="103" t="str">
        <f t="shared" si="0"/>
        <v>DIDT</v>
      </c>
      <c r="F14" s="76" t="e">
        <f>'D_EU Marinas_Scenario_Calc'!K23</f>
        <v>#DIV/0!</v>
      </c>
      <c r="G14" s="76" t="e">
        <f>'D_EU Marinas_Scenario_Calc'!L23</f>
        <v>#DIV/0!</v>
      </c>
      <c r="H14" s="76" t="e">
        <f>'D_EU Marinas_Scenario_Calc'!M23</f>
        <v>#DIV/0!</v>
      </c>
      <c r="I14" s="76" t="e">
        <f>'D_EU Marinas_Scenario_Calc'!N23</f>
        <v>#DIV/0!</v>
      </c>
      <c r="J14" s="76" t="e">
        <f>'D_EU Marinas_Scenario_Calc'!S23</f>
        <v>#DIV/0!</v>
      </c>
      <c r="K14" s="76" t="e">
        <f>'D_EU Marinas_Scenario_Calc'!T23</f>
        <v>#DIV/0!</v>
      </c>
      <c r="L14" s="76" t="e">
        <f>'D_EU Marinas_Scenario_Calc'!U23</f>
        <v>#DIV/0!</v>
      </c>
      <c r="M14" s="76" t="e">
        <f>'D_EU Marinas_Scenario_Calc'!V23</f>
        <v>#DIV/0!</v>
      </c>
    </row>
    <row r="15" spans="2:14" ht="14.25" customHeight="1" x14ac:dyDescent="0.2">
      <c r="B15" s="103" t="s">
        <v>110</v>
      </c>
      <c r="C15" s="75" t="s">
        <v>107</v>
      </c>
      <c r="D15" s="75">
        <v>4</v>
      </c>
      <c r="E15" s="103" t="str">
        <f t="shared" si="0"/>
        <v>DIDT</v>
      </c>
      <c r="F15" s="76" t="e">
        <f>'D_EU Marinas_Scenario_Calc'!K24</f>
        <v>#DIV/0!</v>
      </c>
      <c r="G15" s="76" t="e">
        <f>'D_EU Marinas_Scenario_Calc'!L24</f>
        <v>#DIV/0!</v>
      </c>
      <c r="H15" s="76" t="e">
        <f>'D_EU Marinas_Scenario_Calc'!M24</f>
        <v>#DIV/0!</v>
      </c>
      <c r="I15" s="76" t="e">
        <f>'D_EU Marinas_Scenario_Calc'!N24</f>
        <v>#DIV/0!</v>
      </c>
      <c r="J15" s="76" t="e">
        <f>'D_EU Marinas_Scenario_Calc'!S24</f>
        <v>#DIV/0!</v>
      </c>
      <c r="K15" s="76" t="e">
        <f>'D_EU Marinas_Scenario_Calc'!T24</f>
        <v>#DIV/0!</v>
      </c>
      <c r="L15" s="76" t="e">
        <f>'D_EU Marinas_Scenario_Calc'!U24</f>
        <v>#DIV/0!</v>
      </c>
      <c r="M15" s="76" t="e">
        <f>'D_EU Marinas_Scenario_Calc'!V24</f>
        <v>#DIV/0!</v>
      </c>
    </row>
    <row r="16" spans="2:14" ht="14.25" customHeight="1" x14ac:dyDescent="0.2">
      <c r="B16" s="103" t="s">
        <v>111</v>
      </c>
      <c r="C16" s="75" t="s">
        <v>107</v>
      </c>
      <c r="D16" s="75">
        <v>5</v>
      </c>
      <c r="E16" s="103" t="str">
        <f t="shared" si="0"/>
        <v>DIDT</v>
      </c>
      <c r="F16" s="76" t="e">
        <f>'D_EU Marinas_Scenario_Calc'!K25</f>
        <v>#DIV/0!</v>
      </c>
      <c r="G16" s="76" t="e">
        <f>'D_EU Marinas_Scenario_Calc'!L25</f>
        <v>#DIV/0!</v>
      </c>
      <c r="H16" s="76" t="e">
        <f>'D_EU Marinas_Scenario_Calc'!M25</f>
        <v>#DIV/0!</v>
      </c>
      <c r="I16" s="76" t="e">
        <f>'D_EU Marinas_Scenario_Calc'!N25</f>
        <v>#DIV/0!</v>
      </c>
      <c r="J16" s="76" t="e">
        <f>'D_EU Marinas_Scenario_Calc'!S25</f>
        <v>#DIV/0!</v>
      </c>
      <c r="K16" s="76" t="e">
        <f>'D_EU Marinas_Scenario_Calc'!T25</f>
        <v>#DIV/0!</v>
      </c>
      <c r="L16" s="76" t="e">
        <f>'D_EU Marinas_Scenario_Calc'!U25</f>
        <v>#DIV/0!</v>
      </c>
      <c r="M16" s="76" t="e">
        <f>'D_EU Marinas_Scenario_Calc'!V25</f>
        <v>#DIV/0!</v>
      </c>
    </row>
    <row r="17" spans="2:13" ht="14.25" customHeight="1" x14ac:dyDescent="0.2">
      <c r="B17" s="103" t="s">
        <v>112</v>
      </c>
      <c r="C17" s="75" t="s">
        <v>107</v>
      </c>
      <c r="D17" s="75">
        <v>6</v>
      </c>
      <c r="E17" s="103" t="str">
        <f t="shared" si="0"/>
        <v>DIDT</v>
      </c>
      <c r="F17" s="76" t="e">
        <f>'D_EU Marinas_Scenario_Calc'!K26</f>
        <v>#DIV/0!</v>
      </c>
      <c r="G17" s="76" t="e">
        <f>'D_EU Marinas_Scenario_Calc'!L26</f>
        <v>#DIV/0!</v>
      </c>
      <c r="H17" s="76" t="e">
        <f>'D_EU Marinas_Scenario_Calc'!M26</f>
        <v>#DIV/0!</v>
      </c>
      <c r="I17" s="76" t="e">
        <f>'D_EU Marinas_Scenario_Calc'!N26</f>
        <v>#DIV/0!</v>
      </c>
      <c r="J17" s="76" t="e">
        <f>'D_EU Marinas_Scenario_Calc'!S26</f>
        <v>#DIV/0!</v>
      </c>
      <c r="K17" s="76" t="e">
        <f>'D_EU Marinas_Scenario_Calc'!T26</f>
        <v>#DIV/0!</v>
      </c>
      <c r="L17" s="76" t="e">
        <f>'D_EU Marinas_Scenario_Calc'!U26</f>
        <v>#DIV/0!</v>
      </c>
      <c r="M17" s="76" t="e">
        <f>'D_EU Marinas_Scenario_Calc'!V26</f>
        <v>#DIV/0!</v>
      </c>
    </row>
    <row r="18" spans="2:13" ht="14.25" customHeight="1" x14ac:dyDescent="0.2">
      <c r="B18" s="103" t="s">
        <v>113</v>
      </c>
      <c r="C18" s="75" t="s">
        <v>107</v>
      </c>
      <c r="D18" s="75">
        <v>7</v>
      </c>
      <c r="E18" s="103" t="str">
        <f t="shared" si="0"/>
        <v>DIDT</v>
      </c>
      <c r="F18" s="76" t="e">
        <f>'D_EU Marinas_Scenario_Calc'!K27</f>
        <v>#DIV/0!</v>
      </c>
      <c r="G18" s="76" t="e">
        <f>'D_EU Marinas_Scenario_Calc'!L27</f>
        <v>#DIV/0!</v>
      </c>
      <c r="H18" s="76" t="e">
        <f>'D_EU Marinas_Scenario_Calc'!M27</f>
        <v>#DIV/0!</v>
      </c>
      <c r="I18" s="76" t="e">
        <f>'D_EU Marinas_Scenario_Calc'!N27</f>
        <v>#DIV/0!</v>
      </c>
      <c r="J18" s="76" t="e">
        <f>'D_EU Marinas_Scenario_Calc'!S27</f>
        <v>#DIV/0!</v>
      </c>
      <c r="K18" s="76" t="e">
        <f>'D_EU Marinas_Scenario_Calc'!T27</f>
        <v>#DIV/0!</v>
      </c>
      <c r="L18" s="76" t="e">
        <f>'D_EU Marinas_Scenario_Calc'!U27</f>
        <v>#DIV/0!</v>
      </c>
      <c r="M18" s="76" t="e">
        <f>'D_EU Marinas_Scenario_Calc'!V27</f>
        <v>#DIV/0!</v>
      </c>
    </row>
    <row r="19" spans="2:13" ht="14.25" customHeight="1" x14ac:dyDescent="0.2">
      <c r="B19" s="103" t="s">
        <v>114</v>
      </c>
      <c r="C19" s="75" t="s">
        <v>115</v>
      </c>
      <c r="D19" s="75">
        <v>2</v>
      </c>
      <c r="E19" s="103" t="str">
        <f t="shared" si="0"/>
        <v>DIDT</v>
      </c>
      <c r="F19" s="76" t="e">
        <f>'D_EU Marinas_Scenario_Calc'!K28</f>
        <v>#DIV/0!</v>
      </c>
      <c r="G19" s="76" t="e">
        <f>'D_EU Marinas_Scenario_Calc'!L28</f>
        <v>#DIV/0!</v>
      </c>
      <c r="H19" s="76" t="e">
        <f>'D_EU Marinas_Scenario_Calc'!M28</f>
        <v>#DIV/0!</v>
      </c>
      <c r="I19" s="76" t="e">
        <f>'D_EU Marinas_Scenario_Calc'!N28</f>
        <v>#DIV/0!</v>
      </c>
      <c r="J19" s="76" t="e">
        <f>'D_EU Marinas_Scenario_Calc'!S28</f>
        <v>#DIV/0!</v>
      </c>
      <c r="K19" s="76" t="e">
        <f>'D_EU Marinas_Scenario_Calc'!T28</f>
        <v>#DIV/0!</v>
      </c>
      <c r="L19" s="76" t="e">
        <f>'D_EU Marinas_Scenario_Calc'!U28</f>
        <v>#DIV/0!</v>
      </c>
      <c r="M19" s="76" t="e">
        <f>'D_EU Marinas_Scenario_Calc'!V28</f>
        <v>#DIV/0!</v>
      </c>
    </row>
    <row r="20" spans="2:13" ht="14.25" customHeight="1" x14ac:dyDescent="0.2">
      <c r="B20" s="103" t="s">
        <v>116</v>
      </c>
      <c r="C20" s="75" t="s">
        <v>115</v>
      </c>
      <c r="D20" s="75">
        <v>3</v>
      </c>
      <c r="E20" s="103" t="str">
        <f t="shared" si="0"/>
        <v>DIDT</v>
      </c>
      <c r="F20" s="76" t="e">
        <f>'D_EU Marinas_Scenario_Calc'!K29</f>
        <v>#DIV/0!</v>
      </c>
      <c r="G20" s="76" t="e">
        <f>'D_EU Marinas_Scenario_Calc'!L29</f>
        <v>#DIV/0!</v>
      </c>
      <c r="H20" s="76" t="e">
        <f>'D_EU Marinas_Scenario_Calc'!M29</f>
        <v>#DIV/0!</v>
      </c>
      <c r="I20" s="76" t="e">
        <f>'D_EU Marinas_Scenario_Calc'!N29</f>
        <v>#DIV/0!</v>
      </c>
      <c r="J20" s="76" t="e">
        <f>'D_EU Marinas_Scenario_Calc'!S29</f>
        <v>#DIV/0!</v>
      </c>
      <c r="K20" s="76" t="e">
        <f>'D_EU Marinas_Scenario_Calc'!T29</f>
        <v>#DIV/0!</v>
      </c>
      <c r="L20" s="76" t="e">
        <f>'D_EU Marinas_Scenario_Calc'!U29</f>
        <v>#DIV/0!</v>
      </c>
      <c r="M20" s="76" t="e">
        <f>'D_EU Marinas_Scenario_Calc'!V29</f>
        <v>#DIV/0!</v>
      </c>
    </row>
    <row r="21" spans="2:13" ht="14.25" customHeight="1" x14ac:dyDescent="0.2">
      <c r="B21" s="103" t="s">
        <v>117</v>
      </c>
      <c r="C21" s="75" t="s">
        <v>115</v>
      </c>
      <c r="D21" s="75">
        <v>5</v>
      </c>
      <c r="E21" s="103" t="str">
        <f t="shared" si="0"/>
        <v>DIDT</v>
      </c>
      <c r="F21" s="76" t="e">
        <f>'D_EU Marinas_Scenario_Calc'!K30</f>
        <v>#DIV/0!</v>
      </c>
      <c r="G21" s="76" t="e">
        <f>'D_EU Marinas_Scenario_Calc'!L30</f>
        <v>#DIV/0!</v>
      </c>
      <c r="H21" s="76" t="e">
        <f>'D_EU Marinas_Scenario_Calc'!M30</f>
        <v>#DIV/0!</v>
      </c>
      <c r="I21" s="76" t="e">
        <f>'D_EU Marinas_Scenario_Calc'!N30</f>
        <v>#DIV/0!</v>
      </c>
      <c r="J21" s="76" t="e">
        <f>'D_EU Marinas_Scenario_Calc'!S30</f>
        <v>#DIV/0!</v>
      </c>
      <c r="K21" s="76" t="e">
        <f>'D_EU Marinas_Scenario_Calc'!T30</f>
        <v>#DIV/0!</v>
      </c>
      <c r="L21" s="76" t="e">
        <f>'D_EU Marinas_Scenario_Calc'!U30</f>
        <v>#DIV/0!</v>
      </c>
      <c r="M21" s="76" t="e">
        <f>'D_EU Marinas_Scenario_Calc'!V30</f>
        <v>#DIV/0!</v>
      </c>
    </row>
    <row r="22" spans="2:13" ht="14.25" customHeight="1" x14ac:dyDescent="0.2">
      <c r="B22" s="103" t="s">
        <v>118</v>
      </c>
      <c r="C22" s="75" t="s">
        <v>115</v>
      </c>
      <c r="D22" s="75">
        <v>6</v>
      </c>
      <c r="E22" s="103" t="str">
        <f t="shared" si="0"/>
        <v>DIDT</v>
      </c>
      <c r="F22" s="76" t="e">
        <f>'D_EU Marinas_Scenario_Calc'!K31</f>
        <v>#DIV/0!</v>
      </c>
      <c r="G22" s="76" t="e">
        <f>'D_EU Marinas_Scenario_Calc'!L31</f>
        <v>#DIV/0!</v>
      </c>
      <c r="H22" s="76" t="e">
        <f>'D_EU Marinas_Scenario_Calc'!M31</f>
        <v>#DIV/0!</v>
      </c>
      <c r="I22" s="76" t="e">
        <f>'D_EU Marinas_Scenario_Calc'!N31</f>
        <v>#DIV/0!</v>
      </c>
      <c r="J22" s="76" t="e">
        <f>'D_EU Marinas_Scenario_Calc'!S31</f>
        <v>#DIV/0!</v>
      </c>
      <c r="K22" s="76" t="e">
        <f>'D_EU Marinas_Scenario_Calc'!T31</f>
        <v>#DIV/0!</v>
      </c>
      <c r="L22" s="76" t="e">
        <f>'D_EU Marinas_Scenario_Calc'!U31</f>
        <v>#DIV/0!</v>
      </c>
      <c r="M22" s="76" t="e">
        <f>'D_EU Marinas_Scenario_Calc'!V31</f>
        <v>#DIV/0!</v>
      </c>
    </row>
    <row r="23" spans="2:13" ht="14.25" customHeight="1" x14ac:dyDescent="0.2">
      <c r="B23" s="103" t="s">
        <v>119</v>
      </c>
      <c r="C23" s="75" t="s">
        <v>115</v>
      </c>
      <c r="D23" s="75">
        <v>11</v>
      </c>
      <c r="E23" s="103" t="str">
        <f t="shared" si="0"/>
        <v>DIDT</v>
      </c>
      <c r="F23" s="76" t="e">
        <f>'D_EU Marinas_Scenario_Calc'!K32</f>
        <v>#DIV/0!</v>
      </c>
      <c r="G23" s="76" t="e">
        <f>'D_EU Marinas_Scenario_Calc'!L32</f>
        <v>#DIV/0!</v>
      </c>
      <c r="H23" s="76" t="e">
        <f>'D_EU Marinas_Scenario_Calc'!M32</f>
        <v>#DIV/0!</v>
      </c>
      <c r="I23" s="76" t="e">
        <f>'D_EU Marinas_Scenario_Calc'!N32</f>
        <v>#DIV/0!</v>
      </c>
      <c r="J23" s="76" t="e">
        <f>'D_EU Marinas_Scenario_Calc'!S32</f>
        <v>#DIV/0!</v>
      </c>
      <c r="K23" s="76" t="e">
        <f>'D_EU Marinas_Scenario_Calc'!T32</f>
        <v>#DIV/0!</v>
      </c>
      <c r="L23" s="76" t="e">
        <f>'D_EU Marinas_Scenario_Calc'!U32</f>
        <v>#DIV/0!</v>
      </c>
      <c r="M23" s="76" t="e">
        <f>'D_EU Marinas_Scenario_Calc'!V32</f>
        <v>#DIV/0!</v>
      </c>
    </row>
    <row r="24" spans="2:13" ht="14.25" customHeight="1" x14ac:dyDescent="0.2">
      <c r="B24" s="103" t="s">
        <v>120</v>
      </c>
      <c r="C24" s="75" t="s">
        <v>115</v>
      </c>
      <c r="D24" s="75">
        <v>12</v>
      </c>
      <c r="E24" s="103" t="str">
        <f t="shared" si="0"/>
        <v>DIDT</v>
      </c>
      <c r="F24" s="76" t="e">
        <f>'D_EU Marinas_Scenario_Calc'!K33</f>
        <v>#DIV/0!</v>
      </c>
      <c r="G24" s="76" t="e">
        <f>'D_EU Marinas_Scenario_Calc'!L33</f>
        <v>#DIV/0!</v>
      </c>
      <c r="H24" s="76" t="e">
        <f>'D_EU Marinas_Scenario_Calc'!M33</f>
        <v>#DIV/0!</v>
      </c>
      <c r="I24" s="76" t="e">
        <f>'D_EU Marinas_Scenario_Calc'!N33</f>
        <v>#DIV/0!</v>
      </c>
      <c r="J24" s="76" t="e">
        <f>'D_EU Marinas_Scenario_Calc'!S33</f>
        <v>#DIV/0!</v>
      </c>
      <c r="K24" s="76" t="e">
        <f>'D_EU Marinas_Scenario_Calc'!T33</f>
        <v>#DIV/0!</v>
      </c>
      <c r="L24" s="76" t="e">
        <f>'D_EU Marinas_Scenario_Calc'!U33</f>
        <v>#DIV/0!</v>
      </c>
      <c r="M24" s="76" t="e">
        <f>'D_EU Marinas_Scenario_Calc'!V33</f>
        <v>#DIV/0!</v>
      </c>
    </row>
    <row r="25" spans="2:13" ht="14.25" customHeight="1" x14ac:dyDescent="0.2">
      <c r="B25" s="103" t="s">
        <v>121</v>
      </c>
      <c r="C25" s="75" t="s">
        <v>12</v>
      </c>
      <c r="D25" s="75" t="s">
        <v>122</v>
      </c>
      <c r="E25" s="103" t="str">
        <f t="shared" si="0"/>
        <v>DIDT</v>
      </c>
      <c r="F25" s="76" t="e">
        <f>'D_EU Marinas_Scenario_Calc'!K34</f>
        <v>#DIV/0!</v>
      </c>
      <c r="G25" s="76" t="e">
        <f>'D_EU Marinas_Scenario_Calc'!L34</f>
        <v>#DIV/0!</v>
      </c>
      <c r="H25" s="76" t="e">
        <f>'D_EU Marinas_Scenario_Calc'!M34</f>
        <v>#DIV/0!</v>
      </c>
      <c r="I25" s="76" t="e">
        <f>'D_EU Marinas_Scenario_Calc'!N34</f>
        <v>#DIV/0!</v>
      </c>
      <c r="J25" s="76" t="e">
        <f>'D_EU Marinas_Scenario_Calc'!S34</f>
        <v>#DIV/0!</v>
      </c>
      <c r="K25" s="76" t="e">
        <f>'D_EU Marinas_Scenario_Calc'!T34</f>
        <v>#DIV/0!</v>
      </c>
      <c r="L25" s="76" t="e">
        <f>'D_EU Marinas_Scenario_Calc'!U34</f>
        <v>#DIV/0!</v>
      </c>
      <c r="M25" s="76" t="e">
        <f>'D_EU Marinas_Scenario_Calc'!V34</f>
        <v>#DIV/0!</v>
      </c>
    </row>
    <row r="26" spans="2:13" ht="14.25" customHeight="1" x14ac:dyDescent="0.2">
      <c r="B26" s="103" t="s">
        <v>123</v>
      </c>
      <c r="C26" s="75" t="s">
        <v>12</v>
      </c>
      <c r="D26" s="75" t="s">
        <v>124</v>
      </c>
      <c r="E26" s="103" t="str">
        <f t="shared" si="0"/>
        <v>DIDT</v>
      </c>
      <c r="F26" s="76" t="e">
        <f>'D_EU Marinas_Scenario_Calc'!K35</f>
        <v>#DIV/0!</v>
      </c>
      <c r="G26" s="76" t="e">
        <f>'D_EU Marinas_Scenario_Calc'!L35</f>
        <v>#DIV/0!</v>
      </c>
      <c r="H26" s="76" t="e">
        <f>'D_EU Marinas_Scenario_Calc'!M35</f>
        <v>#DIV/0!</v>
      </c>
      <c r="I26" s="76" t="e">
        <f>'D_EU Marinas_Scenario_Calc'!N35</f>
        <v>#DIV/0!</v>
      </c>
      <c r="J26" s="76" t="e">
        <f>'D_EU Marinas_Scenario_Calc'!S35</f>
        <v>#DIV/0!</v>
      </c>
      <c r="K26" s="76" t="e">
        <f>'D_EU Marinas_Scenario_Calc'!T35</f>
        <v>#DIV/0!</v>
      </c>
      <c r="L26" s="76" t="e">
        <f>'D_EU Marinas_Scenario_Calc'!U35</f>
        <v>#DIV/0!</v>
      </c>
      <c r="M26" s="76" t="e">
        <f>'D_EU Marinas_Scenario_Calc'!V35</f>
        <v>#DIV/0!</v>
      </c>
    </row>
    <row r="27" spans="2:13" ht="14.25" customHeight="1" x14ac:dyDescent="0.2">
      <c r="B27" s="103" t="s">
        <v>125</v>
      </c>
      <c r="C27" s="75" t="s">
        <v>12</v>
      </c>
      <c r="D27" s="75" t="s">
        <v>126</v>
      </c>
      <c r="E27" s="103" t="str">
        <f t="shared" si="0"/>
        <v>DIDT</v>
      </c>
      <c r="F27" s="76" t="e">
        <f>'D_EU Marinas_Scenario_Calc'!K36</f>
        <v>#DIV/0!</v>
      </c>
      <c r="G27" s="76" t="e">
        <f>'D_EU Marinas_Scenario_Calc'!L36</f>
        <v>#DIV/0!</v>
      </c>
      <c r="H27" s="76" t="e">
        <f>'D_EU Marinas_Scenario_Calc'!M36</f>
        <v>#DIV/0!</v>
      </c>
      <c r="I27" s="76" t="e">
        <f>'D_EU Marinas_Scenario_Calc'!N36</f>
        <v>#DIV/0!</v>
      </c>
      <c r="J27" s="76" t="e">
        <f>'D_EU Marinas_Scenario_Calc'!S36</f>
        <v>#DIV/0!</v>
      </c>
      <c r="K27" s="76" t="e">
        <f>'D_EU Marinas_Scenario_Calc'!T36</f>
        <v>#DIV/0!</v>
      </c>
      <c r="L27" s="76" t="e">
        <f>'D_EU Marinas_Scenario_Calc'!U36</f>
        <v>#DIV/0!</v>
      </c>
      <c r="M27" s="76" t="e">
        <f>'D_EU Marinas_Scenario_Calc'!V36</f>
        <v>#DIV/0!</v>
      </c>
    </row>
    <row r="28" spans="2:13" ht="14.25" customHeight="1" x14ac:dyDescent="0.2">
      <c r="B28" s="103" t="s">
        <v>127</v>
      </c>
      <c r="C28" s="75" t="s">
        <v>12</v>
      </c>
      <c r="D28" s="75" t="s">
        <v>128</v>
      </c>
      <c r="E28" s="103" t="str">
        <f t="shared" si="0"/>
        <v>DIDT</v>
      </c>
      <c r="F28" s="76" t="e">
        <f>'D_EU Marinas_Scenario_Calc'!K37</f>
        <v>#DIV/0!</v>
      </c>
      <c r="G28" s="76" t="e">
        <f>'D_EU Marinas_Scenario_Calc'!L37</f>
        <v>#DIV/0!</v>
      </c>
      <c r="H28" s="76" t="e">
        <f>'D_EU Marinas_Scenario_Calc'!M37</f>
        <v>#DIV/0!</v>
      </c>
      <c r="I28" s="76" t="e">
        <f>'D_EU Marinas_Scenario_Calc'!N37</f>
        <v>#DIV/0!</v>
      </c>
      <c r="J28" s="76" t="e">
        <f>'D_EU Marinas_Scenario_Calc'!S37</f>
        <v>#DIV/0!</v>
      </c>
      <c r="K28" s="76" t="e">
        <f>'D_EU Marinas_Scenario_Calc'!T37</f>
        <v>#DIV/0!</v>
      </c>
      <c r="L28" s="76" t="e">
        <f>'D_EU Marinas_Scenario_Calc'!U37</f>
        <v>#DIV/0!</v>
      </c>
      <c r="M28" s="76" t="e">
        <f>'D_EU Marinas_Scenario_Calc'!V37</f>
        <v>#DIV/0!</v>
      </c>
    </row>
    <row r="29" spans="2:13" ht="14.25" customHeight="1" x14ac:dyDescent="0.2">
      <c r="B29" s="103" t="s">
        <v>129</v>
      </c>
      <c r="C29" s="75" t="s">
        <v>12</v>
      </c>
      <c r="D29" s="75" t="s">
        <v>130</v>
      </c>
      <c r="E29" s="103" t="str">
        <f t="shared" si="0"/>
        <v>DIDT</v>
      </c>
      <c r="F29" s="76" t="e">
        <f>'D_EU Marinas_Scenario_Calc'!K38</f>
        <v>#DIV/0!</v>
      </c>
      <c r="G29" s="76" t="e">
        <f>'D_EU Marinas_Scenario_Calc'!L38</f>
        <v>#DIV/0!</v>
      </c>
      <c r="H29" s="76" t="e">
        <f>'D_EU Marinas_Scenario_Calc'!M38</f>
        <v>#DIV/0!</v>
      </c>
      <c r="I29" s="76" t="e">
        <f>'D_EU Marinas_Scenario_Calc'!N38</f>
        <v>#DIV/0!</v>
      </c>
      <c r="J29" s="76" t="e">
        <f>'D_EU Marinas_Scenario_Calc'!S38</f>
        <v>#DIV/0!</v>
      </c>
      <c r="K29" s="76" t="e">
        <f>'D_EU Marinas_Scenario_Calc'!T38</f>
        <v>#DIV/0!</v>
      </c>
      <c r="L29" s="76" t="e">
        <f>'D_EU Marinas_Scenario_Calc'!U38</f>
        <v>#DIV/0!</v>
      </c>
      <c r="M29" s="76" t="e">
        <f>'D_EU Marinas_Scenario_Calc'!V38</f>
        <v>#DIV/0!</v>
      </c>
    </row>
    <row r="30" spans="2:13" ht="14.25" customHeight="1" x14ac:dyDescent="0.2">
      <c r="B30" s="103" t="s">
        <v>131</v>
      </c>
      <c r="C30" s="75" t="s">
        <v>12</v>
      </c>
      <c r="D30" s="75" t="s">
        <v>132</v>
      </c>
      <c r="E30" s="103" t="str">
        <f t="shared" si="0"/>
        <v>DIDT</v>
      </c>
      <c r="F30" s="76" t="e">
        <f>'D_EU Marinas_Scenario_Calc'!K39</f>
        <v>#DIV/0!</v>
      </c>
      <c r="G30" s="76" t="e">
        <f>'D_EU Marinas_Scenario_Calc'!L39</f>
        <v>#DIV/0!</v>
      </c>
      <c r="H30" s="76" t="e">
        <f>'D_EU Marinas_Scenario_Calc'!M39</f>
        <v>#DIV/0!</v>
      </c>
      <c r="I30" s="76" t="e">
        <f>'D_EU Marinas_Scenario_Calc'!N39</f>
        <v>#DIV/0!</v>
      </c>
      <c r="J30" s="76" t="e">
        <f>'D_EU Marinas_Scenario_Calc'!S39</f>
        <v>#DIV/0!</v>
      </c>
      <c r="K30" s="76" t="e">
        <f>'D_EU Marinas_Scenario_Calc'!T39</f>
        <v>#DIV/0!</v>
      </c>
      <c r="L30" s="76" t="e">
        <f>'D_EU Marinas_Scenario_Calc'!U39</f>
        <v>#DIV/0!</v>
      </c>
      <c r="M30" s="76" t="e">
        <f>'D_EU Marinas_Scenario_Calc'!V39</f>
        <v>#DIV/0!</v>
      </c>
    </row>
    <row r="31" spans="2:13" ht="14.25" customHeight="1" x14ac:dyDescent="0.2">
      <c r="B31" s="103" t="s">
        <v>133</v>
      </c>
      <c r="C31" s="75" t="s">
        <v>12</v>
      </c>
      <c r="D31" s="75" t="s">
        <v>134</v>
      </c>
      <c r="E31" s="103" t="str">
        <f t="shared" si="0"/>
        <v>DIDT</v>
      </c>
      <c r="F31" s="76" t="e">
        <f>'D_EU Marinas_Scenario_Calc'!K40</f>
        <v>#DIV/0!</v>
      </c>
      <c r="G31" s="76" t="e">
        <f>'D_EU Marinas_Scenario_Calc'!L40</f>
        <v>#DIV/0!</v>
      </c>
      <c r="H31" s="76" t="e">
        <f>'D_EU Marinas_Scenario_Calc'!M40</f>
        <v>#DIV/0!</v>
      </c>
      <c r="I31" s="76" t="e">
        <f>'D_EU Marinas_Scenario_Calc'!N40</f>
        <v>#DIV/0!</v>
      </c>
      <c r="J31" s="76" t="e">
        <f>'D_EU Marinas_Scenario_Calc'!S40</f>
        <v>#DIV/0!</v>
      </c>
      <c r="K31" s="76" t="e">
        <f>'D_EU Marinas_Scenario_Calc'!T40</f>
        <v>#DIV/0!</v>
      </c>
      <c r="L31" s="76" t="e">
        <f>'D_EU Marinas_Scenario_Calc'!U40</f>
        <v>#DIV/0!</v>
      </c>
      <c r="M31" s="76" t="e">
        <f>'D_EU Marinas_Scenario_Calc'!V40</f>
        <v>#DIV/0!</v>
      </c>
    </row>
    <row r="32" spans="2:13" ht="14.25" customHeight="1" x14ac:dyDescent="0.2">
      <c r="B32" s="103" t="s">
        <v>135</v>
      </c>
      <c r="C32" s="75" t="s">
        <v>12</v>
      </c>
      <c r="D32" s="75" t="s">
        <v>136</v>
      </c>
      <c r="E32" s="103" t="str">
        <f t="shared" si="0"/>
        <v>DIDT</v>
      </c>
      <c r="F32" s="76" t="e">
        <f>'D_EU Marinas_Scenario_Calc'!K41</f>
        <v>#DIV/0!</v>
      </c>
      <c r="G32" s="76" t="e">
        <f>'D_EU Marinas_Scenario_Calc'!L41</f>
        <v>#DIV/0!</v>
      </c>
      <c r="H32" s="76" t="e">
        <f>'D_EU Marinas_Scenario_Calc'!M41</f>
        <v>#DIV/0!</v>
      </c>
      <c r="I32" s="76" t="e">
        <f>'D_EU Marinas_Scenario_Calc'!N41</f>
        <v>#DIV/0!</v>
      </c>
      <c r="J32" s="76" t="e">
        <f>'D_EU Marinas_Scenario_Calc'!S41</f>
        <v>#DIV/0!</v>
      </c>
      <c r="K32" s="76" t="e">
        <f>'D_EU Marinas_Scenario_Calc'!T41</f>
        <v>#DIV/0!</v>
      </c>
      <c r="L32" s="76" t="e">
        <f>'D_EU Marinas_Scenario_Calc'!U41</f>
        <v>#DIV/0!</v>
      </c>
      <c r="M32" s="76" t="e">
        <f>'D_EU Marinas_Scenario_Calc'!V41</f>
        <v>#DIV/0!</v>
      </c>
    </row>
    <row r="33" spans="2:13" ht="14.25" customHeight="1" x14ac:dyDescent="0.2">
      <c r="B33" s="103" t="s">
        <v>137</v>
      </c>
      <c r="C33" s="75" t="s">
        <v>12</v>
      </c>
      <c r="D33" s="75" t="s">
        <v>138</v>
      </c>
      <c r="E33" s="103" t="str">
        <f t="shared" si="0"/>
        <v>DIDT</v>
      </c>
      <c r="F33" s="76" t="e">
        <f>'D_EU Marinas_Scenario_Calc'!K42</f>
        <v>#DIV/0!</v>
      </c>
      <c r="G33" s="76" t="e">
        <f>'D_EU Marinas_Scenario_Calc'!L42</f>
        <v>#DIV/0!</v>
      </c>
      <c r="H33" s="76" t="e">
        <f>'D_EU Marinas_Scenario_Calc'!M42</f>
        <v>#DIV/0!</v>
      </c>
      <c r="I33" s="76" t="e">
        <f>'D_EU Marinas_Scenario_Calc'!N42</f>
        <v>#DIV/0!</v>
      </c>
      <c r="J33" s="76" t="e">
        <f>'D_EU Marinas_Scenario_Calc'!S42</f>
        <v>#DIV/0!</v>
      </c>
      <c r="K33" s="76" t="e">
        <f>'D_EU Marinas_Scenario_Calc'!T42</f>
        <v>#DIV/0!</v>
      </c>
      <c r="L33" s="76" t="e">
        <f>'D_EU Marinas_Scenario_Calc'!U42</f>
        <v>#DIV/0!</v>
      </c>
      <c r="M33" s="76" t="e">
        <f>'D_EU Marinas_Scenario_Calc'!V42</f>
        <v>#DIV/0!</v>
      </c>
    </row>
    <row r="34" spans="2:13" ht="14.25" customHeight="1" x14ac:dyDescent="0.2">
      <c r="B34" s="103" t="s">
        <v>139</v>
      </c>
      <c r="C34" s="75" t="s">
        <v>12</v>
      </c>
      <c r="D34" s="75" t="s">
        <v>140</v>
      </c>
      <c r="E34" s="103" t="str">
        <f t="shared" si="0"/>
        <v>DIDT</v>
      </c>
      <c r="F34" s="76" t="e">
        <f>'D_EU Marinas_Scenario_Calc'!K43</f>
        <v>#DIV/0!</v>
      </c>
      <c r="G34" s="76" t="e">
        <f>'D_EU Marinas_Scenario_Calc'!L43</f>
        <v>#DIV/0!</v>
      </c>
      <c r="H34" s="76" t="e">
        <f>'D_EU Marinas_Scenario_Calc'!M43</f>
        <v>#DIV/0!</v>
      </c>
      <c r="I34" s="76" t="e">
        <f>'D_EU Marinas_Scenario_Calc'!N43</f>
        <v>#DIV/0!</v>
      </c>
      <c r="J34" s="76" t="e">
        <f>'D_EU Marinas_Scenario_Calc'!S43</f>
        <v>#DIV/0!</v>
      </c>
      <c r="K34" s="76" t="e">
        <f>'D_EU Marinas_Scenario_Calc'!T43</f>
        <v>#DIV/0!</v>
      </c>
      <c r="L34" s="76" t="e">
        <f>'D_EU Marinas_Scenario_Calc'!U43</f>
        <v>#DIV/0!</v>
      </c>
      <c r="M34" s="76" t="e">
        <f>'D_EU Marinas_Scenario_Calc'!V43</f>
        <v>#DIV/0!</v>
      </c>
    </row>
    <row r="35" spans="2:13" ht="14.25" customHeight="1" x14ac:dyDescent="0.2">
      <c r="B35" s="103" t="s">
        <v>141</v>
      </c>
      <c r="C35" s="75" t="s">
        <v>13</v>
      </c>
      <c r="D35" s="75">
        <v>1</v>
      </c>
      <c r="E35" s="103" t="str">
        <f t="shared" si="0"/>
        <v>DIDT</v>
      </c>
      <c r="F35" s="76" t="e">
        <f>'D_EU Marinas_Scenario_Calc'!K44</f>
        <v>#DIV/0!</v>
      </c>
      <c r="G35" s="76" t="e">
        <f>'D_EU Marinas_Scenario_Calc'!L44</f>
        <v>#DIV/0!</v>
      </c>
      <c r="H35" s="76" t="e">
        <f>'D_EU Marinas_Scenario_Calc'!M44</f>
        <v>#DIV/0!</v>
      </c>
      <c r="I35" s="76" t="e">
        <f>'D_EU Marinas_Scenario_Calc'!N44</f>
        <v>#DIV/0!</v>
      </c>
      <c r="J35" s="76" t="e">
        <f>'D_EU Marinas_Scenario_Calc'!S44</f>
        <v>#DIV/0!</v>
      </c>
      <c r="K35" s="76" t="e">
        <f>'D_EU Marinas_Scenario_Calc'!T44</f>
        <v>#DIV/0!</v>
      </c>
      <c r="L35" s="76" t="e">
        <f>'D_EU Marinas_Scenario_Calc'!U44</f>
        <v>#DIV/0!</v>
      </c>
      <c r="M35" s="76" t="e">
        <f>'D_EU Marinas_Scenario_Calc'!V44</f>
        <v>#DIV/0!</v>
      </c>
    </row>
    <row r="36" spans="2:13" ht="14.25" customHeight="1" x14ac:dyDescent="0.2">
      <c r="B36" s="103" t="s">
        <v>142</v>
      </c>
      <c r="C36" s="75" t="s">
        <v>13</v>
      </c>
      <c r="D36" s="75">
        <v>3</v>
      </c>
      <c r="E36" s="103" t="str">
        <f t="shared" si="0"/>
        <v>DIDT</v>
      </c>
      <c r="F36" s="76" t="e">
        <f>'D_EU Marinas_Scenario_Calc'!K45</f>
        <v>#DIV/0!</v>
      </c>
      <c r="G36" s="76" t="e">
        <f>'D_EU Marinas_Scenario_Calc'!L45</f>
        <v>#DIV/0!</v>
      </c>
      <c r="H36" s="76" t="e">
        <f>'D_EU Marinas_Scenario_Calc'!M45</f>
        <v>#DIV/0!</v>
      </c>
      <c r="I36" s="76" t="e">
        <f>'D_EU Marinas_Scenario_Calc'!N45</f>
        <v>#DIV/0!</v>
      </c>
      <c r="J36" s="76" t="e">
        <f>'D_EU Marinas_Scenario_Calc'!S45</f>
        <v>#DIV/0!</v>
      </c>
      <c r="K36" s="76" t="e">
        <f>'D_EU Marinas_Scenario_Calc'!T45</f>
        <v>#DIV/0!</v>
      </c>
      <c r="L36" s="76" t="e">
        <f>'D_EU Marinas_Scenario_Calc'!U45</f>
        <v>#DIV/0!</v>
      </c>
      <c r="M36" s="76" t="e">
        <f>'D_EU Marinas_Scenario_Calc'!V45</f>
        <v>#DIV/0!</v>
      </c>
    </row>
    <row r="37" spans="2:13" ht="14.25" customHeight="1" x14ac:dyDescent="0.2">
      <c r="B37" s="103" t="s">
        <v>143</v>
      </c>
      <c r="C37" s="75" t="s">
        <v>13</v>
      </c>
      <c r="D37" s="75">
        <v>4</v>
      </c>
      <c r="E37" s="103" t="str">
        <f t="shared" si="0"/>
        <v>DIDT</v>
      </c>
      <c r="F37" s="76" t="e">
        <f>'D_EU Marinas_Scenario_Calc'!K46</f>
        <v>#DIV/0!</v>
      </c>
      <c r="G37" s="76" t="e">
        <f>'D_EU Marinas_Scenario_Calc'!L46</f>
        <v>#DIV/0!</v>
      </c>
      <c r="H37" s="76" t="e">
        <f>'D_EU Marinas_Scenario_Calc'!M46</f>
        <v>#DIV/0!</v>
      </c>
      <c r="I37" s="76" t="e">
        <f>'D_EU Marinas_Scenario_Calc'!N46</f>
        <v>#DIV/0!</v>
      </c>
      <c r="J37" s="76" t="e">
        <f>'D_EU Marinas_Scenario_Calc'!S46</f>
        <v>#DIV/0!</v>
      </c>
      <c r="K37" s="76" t="e">
        <f>'D_EU Marinas_Scenario_Calc'!T46</f>
        <v>#DIV/0!</v>
      </c>
      <c r="L37" s="76" t="e">
        <f>'D_EU Marinas_Scenario_Calc'!U46</f>
        <v>#DIV/0!</v>
      </c>
      <c r="M37" s="76" t="e">
        <f>'D_EU Marinas_Scenario_Calc'!V46</f>
        <v>#DIV/0!</v>
      </c>
    </row>
    <row r="38" spans="2:13" ht="14.25" customHeight="1" x14ac:dyDescent="0.2">
      <c r="B38" s="103" t="s">
        <v>144</v>
      </c>
      <c r="C38" s="75" t="s">
        <v>13</v>
      </c>
      <c r="D38" s="75">
        <v>6</v>
      </c>
      <c r="E38" s="103" t="str">
        <f t="shared" si="0"/>
        <v>DIDT</v>
      </c>
      <c r="F38" s="76" t="e">
        <f>'D_EU Marinas_Scenario_Calc'!K47</f>
        <v>#DIV/0!</v>
      </c>
      <c r="G38" s="76" t="e">
        <f>'D_EU Marinas_Scenario_Calc'!L47</f>
        <v>#DIV/0!</v>
      </c>
      <c r="H38" s="76" t="e">
        <f>'D_EU Marinas_Scenario_Calc'!M47</f>
        <v>#DIV/0!</v>
      </c>
      <c r="I38" s="76" t="e">
        <f>'D_EU Marinas_Scenario_Calc'!N47</f>
        <v>#DIV/0!</v>
      </c>
      <c r="J38" s="76" t="e">
        <f>'D_EU Marinas_Scenario_Calc'!S47</f>
        <v>#DIV/0!</v>
      </c>
      <c r="K38" s="76" t="e">
        <f>'D_EU Marinas_Scenario_Calc'!T47</f>
        <v>#DIV/0!</v>
      </c>
      <c r="L38" s="76" t="e">
        <f>'D_EU Marinas_Scenario_Calc'!U47</f>
        <v>#DIV/0!</v>
      </c>
      <c r="M38" s="76" t="e">
        <f>'D_EU Marinas_Scenario_Calc'!V47</f>
        <v>#DIV/0!</v>
      </c>
    </row>
    <row r="39" spans="2:13" ht="14.25" customHeight="1" x14ac:dyDescent="0.2">
      <c r="B39" s="103" t="s">
        <v>145</v>
      </c>
      <c r="C39" s="75" t="s">
        <v>13</v>
      </c>
      <c r="D39" s="75">
        <v>7</v>
      </c>
      <c r="E39" s="103" t="str">
        <f t="shared" si="0"/>
        <v>DIDT</v>
      </c>
      <c r="F39" s="76" t="e">
        <f>'D_EU Marinas_Scenario_Calc'!K48</f>
        <v>#DIV/0!</v>
      </c>
      <c r="G39" s="76" t="e">
        <f>'D_EU Marinas_Scenario_Calc'!L48</f>
        <v>#DIV/0!</v>
      </c>
      <c r="H39" s="76" t="e">
        <f>'D_EU Marinas_Scenario_Calc'!M48</f>
        <v>#DIV/0!</v>
      </c>
      <c r="I39" s="76" t="e">
        <f>'D_EU Marinas_Scenario_Calc'!N48</f>
        <v>#DIV/0!</v>
      </c>
      <c r="J39" s="76" t="e">
        <f>'D_EU Marinas_Scenario_Calc'!S48</f>
        <v>#DIV/0!</v>
      </c>
      <c r="K39" s="76" t="e">
        <f>'D_EU Marinas_Scenario_Calc'!T48</f>
        <v>#DIV/0!</v>
      </c>
      <c r="L39" s="76" t="e">
        <f>'D_EU Marinas_Scenario_Calc'!U48</f>
        <v>#DIV/0!</v>
      </c>
      <c r="M39" s="76" t="e">
        <f>'D_EU Marinas_Scenario_Calc'!V48</f>
        <v>#DIV/0!</v>
      </c>
    </row>
    <row r="40" spans="2:13" ht="14.25" customHeight="1" x14ac:dyDescent="0.2">
      <c r="B40" s="103" t="s">
        <v>146</v>
      </c>
      <c r="C40" s="75" t="s">
        <v>13</v>
      </c>
      <c r="D40" s="75">
        <v>8</v>
      </c>
      <c r="E40" s="103" t="str">
        <f t="shared" si="0"/>
        <v>DIDT</v>
      </c>
      <c r="F40" s="76" t="e">
        <f>'D_EU Marinas_Scenario_Calc'!K49</f>
        <v>#DIV/0!</v>
      </c>
      <c r="G40" s="76" t="e">
        <f>'D_EU Marinas_Scenario_Calc'!L49</f>
        <v>#DIV/0!</v>
      </c>
      <c r="H40" s="76" t="e">
        <f>'D_EU Marinas_Scenario_Calc'!M49</f>
        <v>#DIV/0!</v>
      </c>
      <c r="I40" s="76" t="e">
        <f>'D_EU Marinas_Scenario_Calc'!N49</f>
        <v>#DIV/0!</v>
      </c>
      <c r="J40" s="76" t="e">
        <f>'D_EU Marinas_Scenario_Calc'!S49</f>
        <v>#DIV/0!</v>
      </c>
      <c r="K40" s="76" t="e">
        <f>'D_EU Marinas_Scenario_Calc'!T49</f>
        <v>#DIV/0!</v>
      </c>
      <c r="L40" s="76" t="e">
        <f>'D_EU Marinas_Scenario_Calc'!U49</f>
        <v>#DIV/0!</v>
      </c>
      <c r="M40" s="76" t="e">
        <f>'D_EU Marinas_Scenario_Calc'!V49</f>
        <v>#DIV/0!</v>
      </c>
    </row>
    <row r="41" spans="2:13" ht="14.25" customHeight="1" x14ac:dyDescent="0.2">
      <c r="B41" s="103" t="s">
        <v>147</v>
      </c>
      <c r="C41" s="75" t="s">
        <v>13</v>
      </c>
      <c r="D41" s="75">
        <v>14</v>
      </c>
      <c r="E41" s="103" t="str">
        <f t="shared" si="0"/>
        <v>DIDT</v>
      </c>
      <c r="F41" s="76" t="e">
        <f>'D_EU Marinas_Scenario_Calc'!K50</f>
        <v>#DIV/0!</v>
      </c>
      <c r="G41" s="76" t="e">
        <f>'D_EU Marinas_Scenario_Calc'!L50</f>
        <v>#DIV/0!</v>
      </c>
      <c r="H41" s="76" t="e">
        <f>'D_EU Marinas_Scenario_Calc'!M50</f>
        <v>#DIV/0!</v>
      </c>
      <c r="I41" s="76" t="e">
        <f>'D_EU Marinas_Scenario_Calc'!N50</f>
        <v>#DIV/0!</v>
      </c>
      <c r="J41" s="76" t="e">
        <f>'D_EU Marinas_Scenario_Calc'!S50</f>
        <v>#DIV/0!</v>
      </c>
      <c r="K41" s="76" t="e">
        <f>'D_EU Marinas_Scenario_Calc'!T50</f>
        <v>#DIV/0!</v>
      </c>
      <c r="L41" s="76" t="e">
        <f>'D_EU Marinas_Scenario_Calc'!U50</f>
        <v>#DIV/0!</v>
      </c>
      <c r="M41" s="76" t="e">
        <f>'D_EU Marinas_Scenario_Calc'!V50</f>
        <v>#DIV/0!</v>
      </c>
    </row>
    <row r="42" spans="2:13" ht="14.25" customHeight="1" x14ac:dyDescent="0.2">
      <c r="B42" s="103" t="s">
        <v>148</v>
      </c>
      <c r="C42" s="75" t="s">
        <v>13</v>
      </c>
      <c r="D42" s="75">
        <v>17</v>
      </c>
      <c r="E42" s="103" t="str">
        <f t="shared" si="0"/>
        <v>DIDT</v>
      </c>
      <c r="F42" s="76" t="e">
        <f>'D_EU Marinas_Scenario_Calc'!K51</f>
        <v>#DIV/0!</v>
      </c>
      <c r="G42" s="76" t="e">
        <f>'D_EU Marinas_Scenario_Calc'!L51</f>
        <v>#DIV/0!</v>
      </c>
      <c r="H42" s="76" t="e">
        <f>'D_EU Marinas_Scenario_Calc'!M51</f>
        <v>#DIV/0!</v>
      </c>
      <c r="I42" s="76" t="e">
        <f>'D_EU Marinas_Scenario_Calc'!N51</f>
        <v>#DIV/0!</v>
      </c>
      <c r="J42" s="76" t="e">
        <f>'D_EU Marinas_Scenario_Calc'!S51</f>
        <v>#DIV/0!</v>
      </c>
      <c r="K42" s="76" t="e">
        <f>'D_EU Marinas_Scenario_Calc'!T51</f>
        <v>#DIV/0!</v>
      </c>
      <c r="L42" s="76" t="e">
        <f>'D_EU Marinas_Scenario_Calc'!U51</f>
        <v>#DIV/0!</v>
      </c>
      <c r="M42" s="76" t="e">
        <f>'D_EU Marinas_Scenario_Calc'!V51</f>
        <v>#DIV/0!</v>
      </c>
    </row>
    <row r="43" spans="2:13" ht="14.25" customHeight="1" x14ac:dyDescent="0.2">
      <c r="B43" s="103" t="s">
        <v>149</v>
      </c>
      <c r="C43" s="75" t="s">
        <v>13</v>
      </c>
      <c r="D43" s="75">
        <v>21</v>
      </c>
      <c r="E43" s="103" t="str">
        <f t="shared" si="0"/>
        <v>DIDT</v>
      </c>
      <c r="F43" s="76" t="e">
        <f>'D_EU Marinas_Scenario_Calc'!K52</f>
        <v>#DIV/0!</v>
      </c>
      <c r="G43" s="76" t="e">
        <f>'D_EU Marinas_Scenario_Calc'!L52</f>
        <v>#DIV/0!</v>
      </c>
      <c r="H43" s="76" t="e">
        <f>'D_EU Marinas_Scenario_Calc'!M52</f>
        <v>#DIV/0!</v>
      </c>
      <c r="I43" s="76" t="e">
        <f>'D_EU Marinas_Scenario_Calc'!N52</f>
        <v>#DIV/0!</v>
      </c>
      <c r="J43" s="76" t="e">
        <f>'D_EU Marinas_Scenario_Calc'!S52</f>
        <v>#DIV/0!</v>
      </c>
      <c r="K43" s="76" t="e">
        <f>'D_EU Marinas_Scenario_Calc'!T52</f>
        <v>#DIV/0!</v>
      </c>
      <c r="L43" s="76" t="e">
        <f>'D_EU Marinas_Scenario_Calc'!U52</f>
        <v>#DIV/0!</v>
      </c>
      <c r="M43" s="76" t="e">
        <f>'D_EU Marinas_Scenario_Calc'!V52</f>
        <v>#DIV/0!</v>
      </c>
    </row>
    <row r="44" spans="2:13" ht="14.25" customHeight="1" x14ac:dyDescent="0.2">
      <c r="B44" s="103" t="s">
        <v>150</v>
      </c>
      <c r="C44" s="75" t="s">
        <v>13</v>
      </c>
      <c r="D44" s="75">
        <v>26</v>
      </c>
      <c r="E44" s="103" t="str">
        <f t="shared" si="0"/>
        <v>DIDT</v>
      </c>
      <c r="F44" s="76" t="e">
        <f>'D_EU Marinas_Scenario_Calc'!K53</f>
        <v>#DIV/0!</v>
      </c>
      <c r="G44" s="76" t="e">
        <f>'D_EU Marinas_Scenario_Calc'!L53</f>
        <v>#DIV/0!</v>
      </c>
      <c r="H44" s="76" t="e">
        <f>'D_EU Marinas_Scenario_Calc'!M53</f>
        <v>#DIV/0!</v>
      </c>
      <c r="I44" s="76" t="e">
        <f>'D_EU Marinas_Scenario_Calc'!N53</f>
        <v>#DIV/0!</v>
      </c>
      <c r="J44" s="76" t="e">
        <f>'D_EU Marinas_Scenario_Calc'!S53</f>
        <v>#DIV/0!</v>
      </c>
      <c r="K44" s="76" t="e">
        <f>'D_EU Marinas_Scenario_Calc'!T53</f>
        <v>#DIV/0!</v>
      </c>
      <c r="L44" s="76" t="e">
        <f>'D_EU Marinas_Scenario_Calc'!U53</f>
        <v>#DIV/0!</v>
      </c>
      <c r="M44" s="76" t="e">
        <f>'D_EU Marinas_Scenario_Calc'!V53</f>
        <v>#DIV/0!</v>
      </c>
    </row>
    <row r="45" spans="2:13" ht="14.25" customHeight="1" x14ac:dyDescent="0.2">
      <c r="B45" s="103" t="s">
        <v>151</v>
      </c>
      <c r="C45" s="75" t="s">
        <v>13</v>
      </c>
      <c r="D45" s="75">
        <v>30</v>
      </c>
      <c r="E45" s="103" t="str">
        <f t="shared" si="0"/>
        <v>DIDT</v>
      </c>
      <c r="F45" s="76" t="e">
        <f>'D_EU Marinas_Scenario_Calc'!K54</f>
        <v>#DIV/0!</v>
      </c>
      <c r="G45" s="76" t="e">
        <f>'D_EU Marinas_Scenario_Calc'!L54</f>
        <v>#DIV/0!</v>
      </c>
      <c r="H45" s="76" t="e">
        <f>'D_EU Marinas_Scenario_Calc'!M54</f>
        <v>#DIV/0!</v>
      </c>
      <c r="I45" s="76" t="e">
        <f>'D_EU Marinas_Scenario_Calc'!N54</f>
        <v>#DIV/0!</v>
      </c>
      <c r="J45" s="76" t="e">
        <f>'D_EU Marinas_Scenario_Calc'!S54</f>
        <v>#DIV/0!</v>
      </c>
      <c r="K45" s="76" t="e">
        <f>'D_EU Marinas_Scenario_Calc'!T54</f>
        <v>#DIV/0!</v>
      </c>
      <c r="L45" s="76" t="e">
        <f>'D_EU Marinas_Scenario_Calc'!U54</f>
        <v>#DIV/0!</v>
      </c>
      <c r="M45" s="76" t="e">
        <f>'D_EU Marinas_Scenario_Calc'!V54</f>
        <v>#DIV/0!</v>
      </c>
    </row>
    <row r="46" spans="2:13" ht="14.25" customHeight="1" x14ac:dyDescent="0.2">
      <c r="B46" s="103" t="s">
        <v>152</v>
      </c>
      <c r="C46" s="75" t="s">
        <v>13</v>
      </c>
      <c r="D46" s="75">
        <v>34</v>
      </c>
      <c r="E46" s="103" t="str">
        <f t="shared" si="0"/>
        <v>DIDT</v>
      </c>
      <c r="F46" s="76" t="e">
        <f>'D_EU Marinas_Scenario_Calc'!K55</f>
        <v>#DIV/0!</v>
      </c>
      <c r="G46" s="76" t="e">
        <f>'D_EU Marinas_Scenario_Calc'!L55</f>
        <v>#DIV/0!</v>
      </c>
      <c r="H46" s="76" t="e">
        <f>'D_EU Marinas_Scenario_Calc'!M55</f>
        <v>#DIV/0!</v>
      </c>
      <c r="I46" s="76" t="e">
        <f>'D_EU Marinas_Scenario_Calc'!N55</f>
        <v>#DIV/0!</v>
      </c>
      <c r="J46" s="76" t="e">
        <f>'D_EU Marinas_Scenario_Calc'!S55</f>
        <v>#DIV/0!</v>
      </c>
      <c r="K46" s="76" t="e">
        <f>'D_EU Marinas_Scenario_Calc'!T55</f>
        <v>#DIV/0!</v>
      </c>
      <c r="L46" s="76" t="e">
        <f>'D_EU Marinas_Scenario_Calc'!U55</f>
        <v>#DIV/0!</v>
      </c>
      <c r="M46" s="76" t="e">
        <f>'D_EU Marinas_Scenario_Calc'!V55</f>
        <v>#DIV/0!</v>
      </c>
    </row>
    <row r="47" spans="2:13" ht="14.25" customHeight="1" x14ac:dyDescent="0.2">
      <c r="B47" s="103" t="s">
        <v>153</v>
      </c>
      <c r="C47" s="75" t="s">
        <v>13</v>
      </c>
      <c r="D47" s="75">
        <v>40</v>
      </c>
      <c r="E47" s="103" t="str">
        <f t="shared" si="0"/>
        <v>DIDT</v>
      </c>
      <c r="F47" s="76" t="e">
        <f>'D_EU Marinas_Scenario_Calc'!K56</f>
        <v>#DIV/0!</v>
      </c>
      <c r="G47" s="76" t="e">
        <f>'D_EU Marinas_Scenario_Calc'!L56</f>
        <v>#DIV/0!</v>
      </c>
      <c r="H47" s="76" t="e">
        <f>'D_EU Marinas_Scenario_Calc'!M56</f>
        <v>#DIV/0!</v>
      </c>
      <c r="I47" s="76" t="e">
        <f>'D_EU Marinas_Scenario_Calc'!N56</f>
        <v>#DIV/0!</v>
      </c>
      <c r="J47" s="76" t="e">
        <f>'D_EU Marinas_Scenario_Calc'!S56</f>
        <v>#DIV/0!</v>
      </c>
      <c r="K47" s="76" t="e">
        <f>'D_EU Marinas_Scenario_Calc'!T56</f>
        <v>#DIV/0!</v>
      </c>
      <c r="L47" s="76" t="e">
        <f>'D_EU Marinas_Scenario_Calc'!U56</f>
        <v>#DIV/0!</v>
      </c>
      <c r="M47" s="76" t="e">
        <f>'D_EU Marinas_Scenario_Calc'!V56</f>
        <v>#DIV/0!</v>
      </c>
    </row>
    <row r="48" spans="2:13" ht="14.25" customHeight="1" x14ac:dyDescent="0.2">
      <c r="B48" s="103" t="s">
        <v>154</v>
      </c>
      <c r="C48" s="75" t="s">
        <v>13</v>
      </c>
      <c r="D48" s="75">
        <v>42</v>
      </c>
      <c r="E48" s="103" t="str">
        <f t="shared" si="0"/>
        <v>DIDT</v>
      </c>
      <c r="F48" s="76" t="e">
        <f>'D_EU Marinas_Scenario_Calc'!K57</f>
        <v>#DIV/0!</v>
      </c>
      <c r="G48" s="76" t="e">
        <f>'D_EU Marinas_Scenario_Calc'!L57</f>
        <v>#DIV/0!</v>
      </c>
      <c r="H48" s="76" t="e">
        <f>'D_EU Marinas_Scenario_Calc'!M57</f>
        <v>#DIV/0!</v>
      </c>
      <c r="I48" s="76" t="e">
        <f>'D_EU Marinas_Scenario_Calc'!N57</f>
        <v>#DIV/0!</v>
      </c>
      <c r="J48" s="76" t="e">
        <f>'D_EU Marinas_Scenario_Calc'!S57</f>
        <v>#DIV/0!</v>
      </c>
      <c r="K48" s="76" t="e">
        <f>'D_EU Marinas_Scenario_Calc'!T57</f>
        <v>#DIV/0!</v>
      </c>
      <c r="L48" s="76" t="e">
        <f>'D_EU Marinas_Scenario_Calc'!U57</f>
        <v>#DIV/0!</v>
      </c>
      <c r="M48" s="76" t="e">
        <f>'D_EU Marinas_Scenario_Calc'!V57</f>
        <v>#DIV/0!</v>
      </c>
    </row>
    <row r="49" spans="2:15" ht="14.25" customHeight="1" x14ac:dyDescent="0.2">
      <c r="B49" s="103" t="s">
        <v>155</v>
      </c>
      <c r="C49" s="75" t="s">
        <v>13</v>
      </c>
      <c r="D49" s="75">
        <v>44</v>
      </c>
      <c r="E49" s="103" t="str">
        <f t="shared" si="0"/>
        <v>DIDT</v>
      </c>
      <c r="F49" s="76" t="e">
        <f>'D_EU Marinas_Scenario_Calc'!K58</f>
        <v>#DIV/0!</v>
      </c>
      <c r="G49" s="76" t="e">
        <f>'D_EU Marinas_Scenario_Calc'!L58</f>
        <v>#DIV/0!</v>
      </c>
      <c r="H49" s="76" t="e">
        <f>'D_EU Marinas_Scenario_Calc'!M58</f>
        <v>#DIV/0!</v>
      </c>
      <c r="I49" s="76" t="e">
        <f>'D_EU Marinas_Scenario_Calc'!N58</f>
        <v>#DIV/0!</v>
      </c>
      <c r="J49" s="76" t="e">
        <f>'D_EU Marinas_Scenario_Calc'!S58</f>
        <v>#DIV/0!</v>
      </c>
      <c r="K49" s="76" t="e">
        <f>'D_EU Marinas_Scenario_Calc'!T58</f>
        <v>#DIV/0!</v>
      </c>
      <c r="L49" s="76" t="e">
        <f>'D_EU Marinas_Scenario_Calc'!U58</f>
        <v>#DIV/0!</v>
      </c>
      <c r="M49" s="76" t="e">
        <f>'D_EU Marinas_Scenario_Calc'!V58</f>
        <v>#DIV/0!</v>
      </c>
    </row>
    <row r="50" spans="2:15" ht="14.25" customHeight="1" x14ac:dyDescent="0.2">
      <c r="B50" s="103" t="s">
        <v>156</v>
      </c>
      <c r="C50" s="75" t="s">
        <v>13</v>
      </c>
      <c r="D50" s="75">
        <v>45</v>
      </c>
      <c r="E50" s="103" t="str">
        <f t="shared" si="0"/>
        <v>DIDT</v>
      </c>
      <c r="F50" s="76" t="e">
        <f>'D_EU Marinas_Scenario_Calc'!K59</f>
        <v>#DIV/0!</v>
      </c>
      <c r="G50" s="76" t="e">
        <f>'D_EU Marinas_Scenario_Calc'!L59</f>
        <v>#DIV/0!</v>
      </c>
      <c r="H50" s="76" t="e">
        <f>'D_EU Marinas_Scenario_Calc'!M59</f>
        <v>#DIV/0!</v>
      </c>
      <c r="I50" s="76" t="e">
        <f>'D_EU Marinas_Scenario_Calc'!N59</f>
        <v>#DIV/0!</v>
      </c>
      <c r="J50" s="76" t="e">
        <f>'D_EU Marinas_Scenario_Calc'!S59</f>
        <v>#DIV/0!</v>
      </c>
      <c r="K50" s="76" t="e">
        <f>'D_EU Marinas_Scenario_Calc'!T59</f>
        <v>#DIV/0!</v>
      </c>
      <c r="L50" s="76" t="e">
        <f>'D_EU Marinas_Scenario_Calc'!U59</f>
        <v>#DIV/0!</v>
      </c>
      <c r="M50" s="76" t="e">
        <f>'D_EU Marinas_Scenario_Calc'!V59</f>
        <v>#DIV/0!</v>
      </c>
    </row>
    <row r="51" spans="2:15" ht="14.25" customHeight="1" x14ac:dyDescent="0.2">
      <c r="B51" s="103" t="s">
        <v>157</v>
      </c>
      <c r="C51" s="75" t="s">
        <v>13</v>
      </c>
      <c r="D51" s="75">
        <v>46</v>
      </c>
      <c r="E51" s="103" t="str">
        <f t="shared" si="0"/>
        <v>DIDT</v>
      </c>
      <c r="F51" s="76" t="e">
        <f>'D_EU Marinas_Scenario_Calc'!K60</f>
        <v>#DIV/0!</v>
      </c>
      <c r="G51" s="76" t="e">
        <f>'D_EU Marinas_Scenario_Calc'!L60</f>
        <v>#DIV/0!</v>
      </c>
      <c r="H51" s="76" t="e">
        <f>'D_EU Marinas_Scenario_Calc'!M60</f>
        <v>#DIV/0!</v>
      </c>
      <c r="I51" s="76" t="e">
        <f>'D_EU Marinas_Scenario_Calc'!N60</f>
        <v>#DIV/0!</v>
      </c>
      <c r="J51" s="76" t="e">
        <f>'D_EU Marinas_Scenario_Calc'!S60</f>
        <v>#DIV/0!</v>
      </c>
      <c r="K51" s="76" t="e">
        <f>'D_EU Marinas_Scenario_Calc'!T60</f>
        <v>#DIV/0!</v>
      </c>
      <c r="L51" s="76" t="e">
        <f>'D_EU Marinas_Scenario_Calc'!U60</f>
        <v>#DIV/0!</v>
      </c>
      <c r="M51" s="76" t="e">
        <f>'D_EU Marinas_Scenario_Calc'!V60</f>
        <v>#DIV/0!</v>
      </c>
    </row>
    <row r="52" spans="2:15" ht="14.25" customHeight="1" x14ac:dyDescent="0.2">
      <c r="B52" s="103" t="s">
        <v>158</v>
      </c>
      <c r="C52" s="75" t="s">
        <v>13</v>
      </c>
      <c r="D52" s="75">
        <v>48</v>
      </c>
      <c r="E52" s="103" t="str">
        <f t="shared" si="0"/>
        <v>DIDT</v>
      </c>
      <c r="F52" s="76" t="e">
        <f>'D_EU Marinas_Scenario_Calc'!K61</f>
        <v>#DIV/0!</v>
      </c>
      <c r="G52" s="76" t="e">
        <f>'D_EU Marinas_Scenario_Calc'!L61</f>
        <v>#DIV/0!</v>
      </c>
      <c r="H52" s="76" t="e">
        <f>'D_EU Marinas_Scenario_Calc'!M61</f>
        <v>#DIV/0!</v>
      </c>
      <c r="I52" s="76" t="e">
        <f>'D_EU Marinas_Scenario_Calc'!N61</f>
        <v>#DIV/0!</v>
      </c>
      <c r="J52" s="76" t="e">
        <f>'D_EU Marinas_Scenario_Calc'!S61</f>
        <v>#DIV/0!</v>
      </c>
      <c r="K52" s="76" t="e">
        <f>'D_EU Marinas_Scenario_Calc'!T61</f>
        <v>#DIV/0!</v>
      </c>
      <c r="L52" s="76" t="e">
        <f>'D_EU Marinas_Scenario_Calc'!U61</f>
        <v>#DIV/0!</v>
      </c>
      <c r="M52" s="76" t="e">
        <f>'D_EU Marinas_Scenario_Calc'!V61</f>
        <v>#DIV/0!</v>
      </c>
    </row>
    <row r="53" spans="2:15" ht="14.25" customHeight="1" x14ac:dyDescent="0.2">
      <c r="B53" s="103" t="s">
        <v>159</v>
      </c>
      <c r="C53" s="75" t="s">
        <v>160</v>
      </c>
      <c r="D53" s="75">
        <v>1</v>
      </c>
      <c r="E53" s="103" t="str">
        <f t="shared" si="0"/>
        <v>DIDT</v>
      </c>
      <c r="F53" s="76" t="e">
        <f>'D_EU Marinas_Scenario_Calc'!K62</f>
        <v>#DIV/0!</v>
      </c>
      <c r="G53" s="76" t="e">
        <f>'D_EU Marinas_Scenario_Calc'!L62</f>
        <v>#DIV/0!</v>
      </c>
      <c r="H53" s="76" t="e">
        <f>'D_EU Marinas_Scenario_Calc'!M62</f>
        <v>#DIV/0!</v>
      </c>
      <c r="I53" s="76" t="e">
        <f>'D_EU Marinas_Scenario_Calc'!N62</f>
        <v>#DIV/0!</v>
      </c>
      <c r="J53" s="76" t="e">
        <f>'D_EU Marinas_Scenario_Calc'!S62</f>
        <v>#DIV/0!</v>
      </c>
      <c r="K53" s="76" t="e">
        <f>'D_EU Marinas_Scenario_Calc'!T62</f>
        <v>#DIV/0!</v>
      </c>
      <c r="L53" s="76" t="e">
        <f>'D_EU Marinas_Scenario_Calc'!U62</f>
        <v>#DIV/0!</v>
      </c>
      <c r="M53" s="76" t="e">
        <f>'D_EU Marinas_Scenario_Calc'!V62</f>
        <v>#DIV/0!</v>
      </c>
    </row>
    <row r="54" spans="2:15" ht="14.25" customHeight="1" x14ac:dyDescent="0.2">
      <c r="B54" s="103" t="s">
        <v>161</v>
      </c>
      <c r="C54" s="75" t="s">
        <v>160</v>
      </c>
      <c r="D54" s="75">
        <v>2</v>
      </c>
      <c r="E54" s="103" t="str">
        <f t="shared" si="0"/>
        <v>DIDT</v>
      </c>
      <c r="F54" s="76" t="e">
        <f>'D_EU Marinas_Scenario_Calc'!K63</f>
        <v>#DIV/0!</v>
      </c>
      <c r="G54" s="76" t="e">
        <f>'D_EU Marinas_Scenario_Calc'!L63</f>
        <v>#DIV/0!</v>
      </c>
      <c r="H54" s="76" t="e">
        <f>'D_EU Marinas_Scenario_Calc'!M63</f>
        <v>#DIV/0!</v>
      </c>
      <c r="I54" s="76" t="e">
        <f>'D_EU Marinas_Scenario_Calc'!N63</f>
        <v>#DIV/0!</v>
      </c>
      <c r="J54" s="76" t="e">
        <f>'D_EU Marinas_Scenario_Calc'!S63</f>
        <v>#DIV/0!</v>
      </c>
      <c r="K54" s="76" t="e">
        <f>'D_EU Marinas_Scenario_Calc'!T63</f>
        <v>#DIV/0!</v>
      </c>
      <c r="L54" s="76" t="e">
        <f>'D_EU Marinas_Scenario_Calc'!U63</f>
        <v>#DIV/0!</v>
      </c>
      <c r="M54" s="76" t="e">
        <f>'D_EU Marinas_Scenario_Calc'!V63</f>
        <v>#DIV/0!</v>
      </c>
    </row>
    <row r="55" spans="2:15" ht="14.25" customHeight="1" x14ac:dyDescent="0.2">
      <c r="B55" s="103" t="s">
        <v>162</v>
      </c>
      <c r="C55" s="75" t="s">
        <v>160</v>
      </c>
      <c r="D55" s="75">
        <v>3</v>
      </c>
      <c r="E55" s="103" t="str">
        <f t="shared" si="0"/>
        <v>DIDT</v>
      </c>
      <c r="F55" s="76" t="e">
        <f>'D_EU Marinas_Scenario_Calc'!K64</f>
        <v>#DIV/0!</v>
      </c>
      <c r="G55" s="76" t="e">
        <f>'D_EU Marinas_Scenario_Calc'!L64</f>
        <v>#DIV/0!</v>
      </c>
      <c r="H55" s="76" t="e">
        <f>'D_EU Marinas_Scenario_Calc'!M64</f>
        <v>#DIV/0!</v>
      </c>
      <c r="I55" s="76" t="e">
        <f>'D_EU Marinas_Scenario_Calc'!N64</f>
        <v>#DIV/0!</v>
      </c>
      <c r="J55" s="76" t="e">
        <f>'D_EU Marinas_Scenario_Calc'!S64</f>
        <v>#DIV/0!</v>
      </c>
      <c r="K55" s="76" t="e">
        <f>'D_EU Marinas_Scenario_Calc'!T64</f>
        <v>#DIV/0!</v>
      </c>
      <c r="L55" s="76" t="e">
        <f>'D_EU Marinas_Scenario_Calc'!U64</f>
        <v>#DIV/0!</v>
      </c>
      <c r="M55" s="76" t="e">
        <f>'D_EU Marinas_Scenario_Calc'!V64</f>
        <v>#DIV/0!</v>
      </c>
    </row>
    <row r="56" spans="2:15" ht="14.25" customHeight="1" x14ac:dyDescent="0.2">
      <c r="B56" s="103" t="s">
        <v>163</v>
      </c>
      <c r="C56" s="75" t="s">
        <v>160</v>
      </c>
      <c r="D56" s="75">
        <v>4</v>
      </c>
      <c r="E56" s="103" t="str">
        <f t="shared" si="0"/>
        <v>DIDT</v>
      </c>
      <c r="F56" s="76" t="e">
        <f>'D_EU Marinas_Scenario_Calc'!K65</f>
        <v>#DIV/0!</v>
      </c>
      <c r="G56" s="76" t="e">
        <f>'D_EU Marinas_Scenario_Calc'!L65</f>
        <v>#DIV/0!</v>
      </c>
      <c r="H56" s="76" t="e">
        <f>'D_EU Marinas_Scenario_Calc'!M65</f>
        <v>#DIV/0!</v>
      </c>
      <c r="I56" s="76" t="e">
        <f>'D_EU Marinas_Scenario_Calc'!N65</f>
        <v>#DIV/0!</v>
      </c>
      <c r="J56" s="76" t="e">
        <f>'D_EU Marinas_Scenario_Calc'!S65</f>
        <v>#DIV/0!</v>
      </c>
      <c r="K56" s="76" t="e">
        <f>'D_EU Marinas_Scenario_Calc'!T65</f>
        <v>#DIV/0!</v>
      </c>
      <c r="L56" s="76" t="e">
        <f>'D_EU Marinas_Scenario_Calc'!U65</f>
        <v>#DIV/0!</v>
      </c>
      <c r="M56" s="76" t="e">
        <f>'D_EU Marinas_Scenario_Calc'!V65</f>
        <v>#DIV/0!</v>
      </c>
    </row>
    <row r="57" spans="2:15" ht="14.25" customHeight="1" x14ac:dyDescent="0.2">
      <c r="B57" s="103" t="s">
        <v>164</v>
      </c>
      <c r="C57" s="75" t="s">
        <v>160</v>
      </c>
      <c r="D57" s="75">
        <v>5</v>
      </c>
      <c r="E57" s="103" t="str">
        <f t="shared" si="0"/>
        <v>DIDT</v>
      </c>
      <c r="F57" s="76" t="e">
        <f>'D_EU Marinas_Scenario_Calc'!K66</f>
        <v>#DIV/0!</v>
      </c>
      <c r="G57" s="76" t="e">
        <f>'D_EU Marinas_Scenario_Calc'!L66</f>
        <v>#DIV/0!</v>
      </c>
      <c r="H57" s="76" t="e">
        <f>'D_EU Marinas_Scenario_Calc'!M66</f>
        <v>#DIV/0!</v>
      </c>
      <c r="I57" s="76" t="e">
        <f>'D_EU Marinas_Scenario_Calc'!N66</f>
        <v>#DIV/0!</v>
      </c>
      <c r="J57" s="76" t="e">
        <f>'D_EU Marinas_Scenario_Calc'!S66</f>
        <v>#DIV/0!</v>
      </c>
      <c r="K57" s="76" t="e">
        <f>'D_EU Marinas_Scenario_Calc'!T66</f>
        <v>#DIV/0!</v>
      </c>
      <c r="L57" s="76" t="e">
        <f>'D_EU Marinas_Scenario_Calc'!U66</f>
        <v>#DIV/0!</v>
      </c>
      <c r="M57" s="76" t="e">
        <f>'D_EU Marinas_Scenario_Calc'!V66</f>
        <v>#DIV/0!</v>
      </c>
    </row>
    <row r="58" spans="2:15" ht="14.25" customHeight="1" x14ac:dyDescent="0.2">
      <c r="B58" s="187" t="s">
        <v>84</v>
      </c>
      <c r="C58" s="187"/>
      <c r="D58" s="187"/>
      <c r="E58" s="187"/>
      <c r="F58" s="77" t="e">
        <f>'D_EU Marinas_Scenario_Calc'!K69</f>
        <v>#DIV/0!</v>
      </c>
      <c r="G58" s="77" t="e">
        <f>'D_EU Marinas_Scenario_Calc'!L69</f>
        <v>#DIV/0!</v>
      </c>
      <c r="H58" s="77" t="e">
        <f>'D_EU Marinas_Scenario_Calc'!M69</f>
        <v>#DIV/0!</v>
      </c>
      <c r="I58" s="77" t="e">
        <f>'D_EU Marinas_Scenario_Calc'!N69</f>
        <v>#DIV/0!</v>
      </c>
      <c r="J58" s="77" t="e">
        <f>'D_EU Marinas_Scenario_Calc'!S69</f>
        <v>#DIV/0!</v>
      </c>
      <c r="K58" s="77" t="e">
        <f>'D_EU Marinas_Scenario_Calc'!T69</f>
        <v>#DIV/0!</v>
      </c>
      <c r="L58" s="77" t="e">
        <f>'D_EU Marinas_Scenario_Calc'!U69</f>
        <v>#DIV/0!</v>
      </c>
      <c r="M58" s="77" t="e">
        <f>'D_EU Marinas_Scenario_Calc'!V69</f>
        <v>#DIV/0!</v>
      </c>
    </row>
    <row r="59" spans="2:15" ht="14.25" customHeight="1" x14ac:dyDescent="0.2">
      <c r="B59" s="187" t="s">
        <v>14</v>
      </c>
      <c r="C59" s="187"/>
      <c r="D59" s="187"/>
      <c r="E59" s="187"/>
      <c r="F59" s="77" t="e">
        <f>'D_EU Marinas_Scenario_Calc'!K67</f>
        <v>#DIV/0!</v>
      </c>
      <c r="G59" s="77" t="e">
        <f>'D_EU Marinas_Scenario_Calc'!L67</f>
        <v>#DIV/0!</v>
      </c>
      <c r="H59" s="77" t="e">
        <f>'D_EU Marinas_Scenario_Calc'!M67</f>
        <v>#DIV/0!</v>
      </c>
      <c r="I59" s="77" t="e">
        <f>'D_EU Marinas_Scenario_Calc'!N67</f>
        <v>#DIV/0!</v>
      </c>
      <c r="J59" s="77" t="e">
        <f>'D_EU Marinas_Scenario_Calc'!S67</f>
        <v>#DIV/0!</v>
      </c>
      <c r="K59" s="77" t="e">
        <f>'D_EU Marinas_Scenario_Calc'!T67</f>
        <v>#DIV/0!</v>
      </c>
      <c r="L59" s="77" t="e">
        <f>'D_EU Marinas_Scenario_Calc'!U67</f>
        <v>#DIV/0!</v>
      </c>
      <c r="M59" s="77" t="e">
        <f>'D_EU Marinas_Scenario_Calc'!V67</f>
        <v>#DIV/0!</v>
      </c>
    </row>
    <row r="60" spans="2:15" ht="14.25" customHeight="1" x14ac:dyDescent="0.2">
      <c r="B60" s="187" t="s">
        <v>15</v>
      </c>
      <c r="C60" s="187"/>
      <c r="D60" s="187"/>
      <c r="E60" s="187"/>
      <c r="F60" s="77" t="e">
        <f>'D_EU Marinas_Scenario_Calc'!K68</f>
        <v>#DIV/0!</v>
      </c>
      <c r="G60" s="77" t="e">
        <f>'D_EU Marinas_Scenario_Calc'!L68</f>
        <v>#DIV/0!</v>
      </c>
      <c r="H60" s="77" t="e">
        <f>'D_EU Marinas_Scenario_Calc'!M68</f>
        <v>#DIV/0!</v>
      </c>
      <c r="I60" s="77" t="e">
        <f>'D_EU Marinas_Scenario_Calc'!N68</f>
        <v>#DIV/0!</v>
      </c>
      <c r="J60" s="77" t="e">
        <f>'D_EU Marinas_Scenario_Calc'!S68</f>
        <v>#DIV/0!</v>
      </c>
      <c r="K60" s="77" t="e">
        <f>'D_EU Marinas_Scenario_Calc'!T68</f>
        <v>#DIV/0!</v>
      </c>
      <c r="L60" s="77" t="e">
        <f>'D_EU Marinas_Scenario_Calc'!U68</f>
        <v>#DIV/0!</v>
      </c>
      <c r="M60" s="77" t="e">
        <f>'D_EU Marinas_Scenario_Calc'!V68</f>
        <v>#DIV/0!</v>
      </c>
    </row>
    <row r="61" spans="2:15" x14ac:dyDescent="0.2">
      <c r="B61" s="91"/>
      <c r="C61" s="91"/>
      <c r="D61" s="91"/>
      <c r="E61" s="91"/>
      <c r="F61" s="91"/>
      <c r="G61" s="91"/>
      <c r="H61" s="91"/>
      <c r="I61" s="91"/>
      <c r="J61" s="91"/>
      <c r="K61" s="91"/>
      <c r="L61" s="91"/>
      <c r="M61" s="91"/>
    </row>
    <row r="62" spans="2:15" x14ac:dyDescent="0.2">
      <c r="B62" s="67"/>
      <c r="C62" s="67"/>
      <c r="D62" s="67"/>
      <c r="E62" s="68"/>
      <c r="F62" s="69"/>
      <c r="G62" s="69"/>
      <c r="H62" s="69"/>
      <c r="I62" s="69"/>
      <c r="J62" s="67"/>
      <c r="K62" s="67"/>
      <c r="L62" s="67"/>
      <c r="M62" s="67"/>
      <c r="N62" s="15"/>
      <c r="O62" s="15"/>
    </row>
    <row r="63" spans="2:15" x14ac:dyDescent="0.2">
      <c r="B63" s="67"/>
      <c r="C63" s="67"/>
      <c r="D63" s="67"/>
      <c r="E63" s="68"/>
      <c r="F63" s="69"/>
      <c r="G63" s="69"/>
      <c r="H63" s="69"/>
      <c r="I63" s="69"/>
      <c r="J63" s="67"/>
      <c r="K63" s="67"/>
      <c r="L63" s="67"/>
      <c r="M63" s="67"/>
      <c r="N63" s="15"/>
      <c r="O63" s="15"/>
    </row>
    <row r="64" spans="2:15" x14ac:dyDescent="0.2">
      <c r="B64" s="67"/>
      <c r="C64" s="67"/>
      <c r="D64" s="67"/>
      <c r="E64" s="68"/>
      <c r="F64" s="69"/>
      <c r="G64" s="69"/>
      <c r="H64" s="69"/>
      <c r="I64" s="69"/>
      <c r="J64" s="67"/>
      <c r="K64" s="67"/>
      <c r="L64" s="67"/>
      <c r="M64" s="67"/>
      <c r="N64" s="15"/>
      <c r="O64" s="15"/>
    </row>
    <row r="65" spans="2:15" x14ac:dyDescent="0.2">
      <c r="B65" s="67"/>
      <c r="C65" s="67"/>
      <c r="D65" s="67"/>
      <c r="E65" s="68"/>
      <c r="F65" s="69"/>
      <c r="G65" s="69"/>
      <c r="H65" s="69"/>
      <c r="I65" s="69"/>
      <c r="J65" s="67"/>
      <c r="K65" s="67"/>
      <c r="L65" s="67"/>
      <c r="M65" s="67"/>
      <c r="N65" s="15"/>
      <c r="O65" s="15"/>
    </row>
    <row r="66" spans="2:15" x14ac:dyDescent="0.2">
      <c r="B66" s="67"/>
      <c r="C66" s="67"/>
      <c r="D66" s="67"/>
      <c r="E66" s="68"/>
      <c r="F66" s="69"/>
      <c r="G66" s="69"/>
      <c r="H66" s="69"/>
      <c r="I66" s="69"/>
      <c r="J66" s="67"/>
      <c r="K66" s="67"/>
      <c r="L66" s="67"/>
      <c r="M66" s="67"/>
      <c r="N66" s="15"/>
      <c r="O66" s="15"/>
    </row>
    <row r="67" spans="2:15" x14ac:dyDescent="0.2">
      <c r="B67" s="67"/>
      <c r="C67" s="67"/>
      <c r="D67" s="67"/>
      <c r="E67" s="68"/>
      <c r="F67" s="69"/>
      <c r="G67" s="69"/>
      <c r="H67" s="69"/>
      <c r="I67" s="69"/>
      <c r="J67" s="67"/>
      <c r="K67" s="67"/>
      <c r="L67" s="67"/>
      <c r="M67" s="67"/>
      <c r="N67" s="15"/>
      <c r="O67" s="15"/>
    </row>
    <row r="68" spans="2:15" x14ac:dyDescent="0.2">
      <c r="B68" s="67"/>
      <c r="C68" s="67"/>
      <c r="D68" s="67"/>
      <c r="E68" s="68"/>
      <c r="F68" s="69"/>
      <c r="G68" s="69"/>
      <c r="H68" s="69"/>
      <c r="I68" s="69"/>
      <c r="J68" s="67"/>
      <c r="K68" s="67"/>
      <c r="L68" s="67"/>
      <c r="M68" s="67"/>
      <c r="N68" s="15"/>
      <c r="O68" s="15"/>
    </row>
    <row r="69" spans="2:15" x14ac:dyDescent="0.2">
      <c r="B69" s="67"/>
      <c r="C69" s="67"/>
      <c r="D69" s="67"/>
      <c r="E69" s="68"/>
      <c r="F69" s="69"/>
      <c r="G69" s="69"/>
      <c r="H69" s="69"/>
      <c r="I69" s="69"/>
      <c r="J69" s="67"/>
      <c r="K69" s="67"/>
      <c r="L69" s="67"/>
      <c r="M69" s="67"/>
      <c r="N69" s="15"/>
      <c r="O69" s="15"/>
    </row>
    <row r="70" spans="2:15" x14ac:dyDescent="0.2">
      <c r="B70" s="67"/>
      <c r="C70" s="67"/>
      <c r="D70" s="67"/>
      <c r="E70" s="68"/>
      <c r="F70" s="69"/>
      <c r="G70" s="69"/>
      <c r="H70" s="69"/>
      <c r="I70" s="69"/>
      <c r="J70" s="67"/>
      <c r="K70" s="67"/>
      <c r="L70" s="67"/>
      <c r="M70" s="67"/>
      <c r="N70" s="15"/>
      <c r="O70" s="15"/>
    </row>
    <row r="71" spans="2:15" x14ac:dyDescent="0.2">
      <c r="B71" s="67"/>
      <c r="C71" s="67"/>
      <c r="D71" s="67"/>
      <c r="E71" s="68"/>
      <c r="F71" s="69"/>
      <c r="G71" s="69"/>
      <c r="H71" s="69"/>
      <c r="I71" s="69"/>
      <c r="J71" s="67"/>
      <c r="K71" s="67"/>
      <c r="L71" s="67"/>
      <c r="M71" s="67"/>
      <c r="N71" s="15"/>
      <c r="O71" s="15"/>
    </row>
    <row r="72" spans="2:15" x14ac:dyDescent="0.2">
      <c r="B72" s="67"/>
      <c r="C72" s="67"/>
      <c r="D72" s="67"/>
      <c r="E72" s="68"/>
      <c r="F72" s="69"/>
      <c r="G72" s="69"/>
      <c r="H72" s="69"/>
      <c r="I72" s="69"/>
      <c r="J72" s="67"/>
      <c r="K72" s="67"/>
      <c r="L72" s="67"/>
      <c r="M72" s="67"/>
      <c r="N72" s="15"/>
      <c r="O72" s="15"/>
    </row>
    <row r="73" spans="2:15" x14ac:dyDescent="0.2">
      <c r="B73" s="67"/>
      <c r="C73" s="67"/>
      <c r="D73" s="67"/>
      <c r="E73" s="68"/>
      <c r="F73" s="69"/>
      <c r="G73" s="69"/>
      <c r="H73" s="69"/>
      <c r="I73" s="69"/>
      <c r="J73" s="67"/>
      <c r="K73" s="67"/>
      <c r="L73" s="67"/>
      <c r="M73" s="67"/>
      <c r="N73" s="15"/>
      <c r="O73" s="15"/>
    </row>
    <row r="74" spans="2:15" x14ac:dyDescent="0.2">
      <c r="B74" s="67"/>
      <c r="C74" s="67"/>
      <c r="D74" s="67"/>
      <c r="E74" s="68"/>
      <c r="F74" s="69"/>
      <c r="G74" s="69"/>
      <c r="H74" s="69"/>
      <c r="I74" s="69"/>
      <c r="J74" s="67"/>
      <c r="K74" s="67"/>
      <c r="L74" s="67"/>
      <c r="M74" s="67"/>
      <c r="N74" s="15"/>
      <c r="O74" s="15"/>
    </row>
    <row r="75" spans="2:15" x14ac:dyDescent="0.2">
      <c r="B75" s="67"/>
      <c r="C75" s="67"/>
      <c r="D75" s="67"/>
      <c r="E75" s="68"/>
      <c r="F75" s="69"/>
      <c r="G75" s="69"/>
      <c r="H75" s="69"/>
      <c r="I75" s="69"/>
      <c r="J75" s="67"/>
      <c r="K75" s="67"/>
      <c r="L75" s="67"/>
      <c r="M75" s="67"/>
      <c r="N75" s="15"/>
      <c r="O75" s="15"/>
    </row>
    <row r="76" spans="2:15" x14ac:dyDescent="0.2">
      <c r="B76" s="67"/>
      <c r="C76" s="67"/>
      <c r="D76" s="67"/>
      <c r="E76" s="68"/>
      <c r="F76" s="69"/>
      <c r="G76" s="69"/>
      <c r="H76" s="69"/>
      <c r="I76" s="69"/>
      <c r="J76" s="67"/>
      <c r="K76" s="67"/>
      <c r="L76" s="67"/>
      <c r="M76" s="67"/>
      <c r="N76" s="15"/>
      <c r="O76" s="15"/>
    </row>
    <row r="77" spans="2:15" x14ac:dyDescent="0.2">
      <c r="B77" s="15"/>
      <c r="C77" s="15"/>
      <c r="D77" s="15"/>
      <c r="E77" s="15"/>
      <c r="F77" s="15"/>
      <c r="G77" s="15"/>
      <c r="H77" s="15"/>
      <c r="I77" s="15"/>
      <c r="J77" s="15"/>
      <c r="K77" s="15"/>
      <c r="L77" s="15"/>
      <c r="M77" s="15"/>
      <c r="N77" s="15"/>
      <c r="O77" s="15"/>
    </row>
    <row r="78" spans="2:15" x14ac:dyDescent="0.2">
      <c r="B78" s="15"/>
      <c r="C78" s="15"/>
      <c r="D78" s="15"/>
      <c r="E78" s="15"/>
      <c r="F78" s="15"/>
      <c r="G78" s="15"/>
      <c r="H78" s="15"/>
      <c r="I78" s="15"/>
      <c r="J78" s="15"/>
      <c r="K78" s="15"/>
      <c r="L78" s="15"/>
      <c r="M78" s="15"/>
      <c r="N78" s="15"/>
      <c r="O78" s="15"/>
    </row>
  </sheetData>
  <mergeCells count="10">
    <mergeCell ref="B10:M10"/>
    <mergeCell ref="B58:E58"/>
    <mergeCell ref="B59:E59"/>
    <mergeCell ref="B60:E60"/>
    <mergeCell ref="B2:N2"/>
    <mergeCell ref="B4:G4"/>
    <mergeCell ref="B5:F5"/>
    <mergeCell ref="B6:F6"/>
    <mergeCell ref="B7:F7"/>
    <mergeCell ref="B8:F8"/>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59"/>
  <sheetViews>
    <sheetView zoomScale="90" zoomScaleNormal="90" workbookViewId="0"/>
  </sheetViews>
  <sheetFormatPr defaultRowHeight="12.75" x14ac:dyDescent="0.2"/>
  <cols>
    <col min="2" max="2" width="31.75" customWidth="1"/>
    <col min="3" max="3" width="25.625" customWidth="1"/>
    <col min="4" max="11" width="11.625" customWidth="1"/>
  </cols>
  <sheetData>
    <row r="2" spans="2:12" ht="21" customHeight="1" thickBot="1" x14ac:dyDescent="0.35">
      <c r="B2" s="188" t="s">
        <v>103</v>
      </c>
      <c r="C2" s="188"/>
      <c r="D2" s="188"/>
      <c r="E2" s="188"/>
      <c r="F2" s="188"/>
      <c r="G2" s="188"/>
      <c r="H2" s="188"/>
      <c r="I2" s="188"/>
      <c r="J2" s="188"/>
      <c r="K2" s="188"/>
      <c r="L2" s="188"/>
    </row>
    <row r="3" spans="2:12" ht="13.5" thickTop="1" x14ac:dyDescent="0.2">
      <c r="B3" s="145" t="str">
        <f>Tooltype</f>
        <v>Freshwater calculator tool</v>
      </c>
      <c r="C3" s="3"/>
      <c r="D3" s="3"/>
      <c r="E3" s="3"/>
      <c r="F3" s="3"/>
      <c r="G3" s="3"/>
      <c r="H3" s="3"/>
      <c r="I3" s="3"/>
      <c r="J3" s="3"/>
      <c r="K3" s="3"/>
    </row>
    <row r="4" spans="2:12" ht="15" x14ac:dyDescent="0.2">
      <c r="B4" s="190" t="s">
        <v>88</v>
      </c>
      <c r="C4" s="190"/>
      <c r="D4" s="190"/>
      <c r="E4" s="190"/>
      <c r="F4" s="3"/>
      <c r="G4" s="3"/>
      <c r="H4" s="3"/>
      <c r="I4" s="3"/>
      <c r="J4" s="3"/>
      <c r="K4" s="3"/>
    </row>
    <row r="5" spans="2:12" x14ac:dyDescent="0.2">
      <c r="B5" s="189" t="s">
        <v>201</v>
      </c>
      <c r="C5" s="189"/>
      <c r="D5" s="189"/>
      <c r="E5" s="104">
        <f>D_PNEC_Aquatic_Inside</f>
        <v>0.18</v>
      </c>
      <c r="F5" s="3"/>
      <c r="G5" s="3"/>
      <c r="H5" s="3"/>
      <c r="I5" s="3"/>
      <c r="J5" s="3"/>
      <c r="K5" s="3"/>
    </row>
    <row r="6" spans="2:12" x14ac:dyDescent="0.2">
      <c r="B6" s="189" t="s">
        <v>202</v>
      </c>
      <c r="C6" s="189"/>
      <c r="D6" s="189"/>
      <c r="E6" s="104">
        <f>D_PNEC_Sediment_Inside</f>
        <v>1.3699999999999999E-3</v>
      </c>
      <c r="F6" s="3"/>
      <c r="G6" s="3"/>
      <c r="H6" s="3"/>
      <c r="I6" s="3"/>
      <c r="J6" s="3"/>
      <c r="K6" s="3"/>
    </row>
    <row r="7" spans="2:12" x14ac:dyDescent="0.2">
      <c r="B7" s="189" t="s">
        <v>203</v>
      </c>
      <c r="C7" s="189"/>
      <c r="D7" s="189"/>
      <c r="E7" s="104">
        <f>D_PNEC_Aquatic_Surrounding</f>
        <v>0.18</v>
      </c>
      <c r="F7" s="3"/>
      <c r="G7" s="3"/>
      <c r="H7" s="3"/>
      <c r="I7" s="3"/>
      <c r="J7" s="3"/>
      <c r="K7" s="3"/>
    </row>
    <row r="8" spans="2:12" x14ac:dyDescent="0.2">
      <c r="B8" s="189" t="s">
        <v>204</v>
      </c>
      <c r="C8" s="189"/>
      <c r="D8" s="189"/>
      <c r="E8" s="104">
        <f>D_PNEC_Sediment_Surrounding</f>
        <v>1.3699999999999999E-3</v>
      </c>
      <c r="F8" s="3"/>
      <c r="G8" s="3"/>
      <c r="H8" s="3"/>
      <c r="I8" s="3"/>
      <c r="J8" s="3"/>
      <c r="K8" s="3"/>
    </row>
    <row r="9" spans="2:12" ht="13.5" thickBot="1" x14ac:dyDescent="0.25"/>
    <row r="10" spans="2:12" ht="15" x14ac:dyDescent="0.2">
      <c r="B10" s="191" t="s">
        <v>104</v>
      </c>
      <c r="C10" s="192"/>
      <c r="D10" s="192"/>
      <c r="E10" s="192"/>
      <c r="F10" s="192"/>
      <c r="G10" s="192"/>
      <c r="H10" s="192"/>
      <c r="I10" s="192"/>
      <c r="J10" s="192"/>
      <c r="K10" s="192"/>
    </row>
    <row r="11" spans="2:12" ht="99.95" customHeight="1" x14ac:dyDescent="0.2">
      <c r="B11" s="114" t="s">
        <v>9</v>
      </c>
      <c r="C11" s="102" t="s">
        <v>11</v>
      </c>
      <c r="D11" s="13" t="s">
        <v>73</v>
      </c>
      <c r="E11" s="13" t="s">
        <v>207</v>
      </c>
      <c r="F11" s="13" t="s">
        <v>74</v>
      </c>
      <c r="G11" s="13" t="s">
        <v>208</v>
      </c>
      <c r="H11" s="13" t="s">
        <v>209</v>
      </c>
      <c r="I11" s="13" t="s">
        <v>210</v>
      </c>
      <c r="J11" s="13" t="s">
        <v>211</v>
      </c>
      <c r="K11" s="13" t="s">
        <v>212</v>
      </c>
    </row>
    <row r="12" spans="2:12" ht="14.25" customHeight="1" x14ac:dyDescent="0.2">
      <c r="B12" s="105" t="s">
        <v>172</v>
      </c>
      <c r="C12" s="105" t="str">
        <f>D_Compound_Name</f>
        <v>DIDT</v>
      </c>
      <c r="D12" s="54" t="e">
        <f>'D_Regulatory_ Marinas_Calc'!I21</f>
        <v>#DIV/0!</v>
      </c>
      <c r="E12" s="54" t="e">
        <f>'D_Regulatory_ Marinas_Calc'!J21</f>
        <v>#DIV/0!</v>
      </c>
      <c r="F12" s="54" t="e">
        <f>'D_Regulatory_ Marinas_Calc'!K21</f>
        <v>#DIV/0!</v>
      </c>
      <c r="G12" s="54" t="e">
        <f>'D_Regulatory_ Marinas_Calc'!L21</f>
        <v>#DIV/0!</v>
      </c>
      <c r="H12" s="108" t="e">
        <f>'D_Regulatory_ Marinas_Calc'!Q21</f>
        <v>#DIV/0!</v>
      </c>
      <c r="I12" s="108" t="e">
        <f>'D_Regulatory_ Marinas_Calc'!R21</f>
        <v>#DIV/0!</v>
      </c>
      <c r="J12" s="108" t="e">
        <f>'D_Regulatory_ Marinas_Calc'!S21</f>
        <v>#DIV/0!</v>
      </c>
      <c r="K12" s="108" t="e">
        <f>'D_Regulatory_ Marinas_Calc'!T21</f>
        <v>#DIV/0!</v>
      </c>
    </row>
    <row r="13" spans="2:12" ht="14.25" customHeight="1" x14ac:dyDescent="0.2">
      <c r="B13" s="105" t="s">
        <v>173</v>
      </c>
      <c r="C13" s="105" t="str">
        <f>D_Compound_Name</f>
        <v>DIDT</v>
      </c>
      <c r="D13" s="54" t="e">
        <f>'Z_Regulatory_ Marinas_Calc'!I22</f>
        <v>#DIV/0!</v>
      </c>
      <c r="E13" s="54" t="e">
        <f>'Z_Regulatory_ Marinas_Calc'!J22</f>
        <v>#DIV/0!</v>
      </c>
      <c r="F13" s="54" t="e">
        <f>'Z_Regulatory_ Marinas_Calc'!K22</f>
        <v>#DIV/0!</v>
      </c>
      <c r="G13" s="54" t="e">
        <f>'Z_Regulatory_ Marinas_Calc'!L22</f>
        <v>#DIV/0!</v>
      </c>
      <c r="H13" s="108" t="e">
        <f>'D_Regulatory_ Marinas_Calc'!Q22</f>
        <v>#DIV/0!</v>
      </c>
      <c r="I13" s="108" t="e">
        <f>'D_Regulatory_ Marinas_Calc'!R22</f>
        <v>#DIV/0!</v>
      </c>
      <c r="J13" s="108" t="e">
        <f>'D_Regulatory_ Marinas_Calc'!S22</f>
        <v>#DIV/0!</v>
      </c>
      <c r="K13" s="108" t="e">
        <f>'D_Regulatory_ Marinas_Calc'!T22</f>
        <v>#DIV/0!</v>
      </c>
    </row>
    <row r="14" spans="2:12" ht="14.25" customHeight="1" x14ac:dyDescent="0.2"/>
    <row r="15" spans="2:12" ht="14.25" customHeight="1" x14ac:dyDescent="0.2"/>
    <row r="16" spans="2:1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93" t="s">
        <v>103</v>
      </c>
      <c r="C2" s="193"/>
      <c r="D2" s="193"/>
      <c r="E2" s="193"/>
      <c r="F2" s="193"/>
      <c r="G2" s="193"/>
      <c r="H2" s="193"/>
      <c r="I2" s="193"/>
      <c r="J2" s="193"/>
      <c r="K2" s="193"/>
      <c r="L2" s="193"/>
      <c r="M2" s="193"/>
    </row>
    <row r="3" spans="2:13" ht="13.5" thickTop="1" x14ac:dyDescent="0.2">
      <c r="B3" s="145" t="str">
        <f>Tooltype</f>
        <v>Freshwater calculator tool</v>
      </c>
    </row>
    <row r="4" spans="2:13" ht="18" thickBot="1" x14ac:dyDescent="0.35">
      <c r="B4" s="10" t="s">
        <v>0</v>
      </c>
    </row>
    <row r="5" spans="2:13" ht="13.5" thickTop="1" x14ac:dyDescent="0.2"/>
    <row r="6" spans="2:13" x14ac:dyDescent="0.2">
      <c r="B6" s="3" t="s">
        <v>1</v>
      </c>
      <c r="C6" s="57" t="s">
        <v>232</v>
      </c>
    </row>
    <row r="9" spans="2:13" x14ac:dyDescent="0.2">
      <c r="B9" s="47"/>
    </row>
    <row r="12" spans="2:13" x14ac:dyDescent="0.2">
      <c r="D12" s="6"/>
    </row>
    <row r="14" spans="2:13" ht="15" x14ac:dyDescent="0.25">
      <c r="B14" s="7"/>
    </row>
    <row r="16" spans="2:13" x14ac:dyDescent="0.2">
      <c r="D16" s="6"/>
    </row>
    <row r="18" spans="2:2" ht="15" x14ac:dyDescent="0.25">
      <c r="B18" s="7"/>
    </row>
    <row r="19" spans="2:2" ht="15" x14ac:dyDescent="0.25">
      <c r="B19" s="7"/>
    </row>
    <row r="20" spans="2:2" ht="15" x14ac:dyDescent="0.25">
      <c r="B20" s="7"/>
    </row>
    <row r="21" spans="2:2" ht="15" x14ac:dyDescent="0.25">
      <c r="B21" s="7"/>
    </row>
    <row r="27" spans="2:2" ht="15" x14ac:dyDescent="0.25">
      <c r="B27" s="7"/>
    </row>
    <row r="33" spans="2:4" ht="15" x14ac:dyDescent="0.25">
      <c r="B33" s="7"/>
    </row>
    <row r="34" spans="2:4" x14ac:dyDescent="0.2">
      <c r="B34" s="8"/>
    </row>
    <row r="35" spans="2:4" x14ac:dyDescent="0.2">
      <c r="B35" s="8"/>
    </row>
    <row r="36" spans="2:4" x14ac:dyDescent="0.2">
      <c r="B36" s="8"/>
      <c r="D36" s="6"/>
    </row>
    <row r="38" spans="2:4" ht="15" x14ac:dyDescent="0.25">
      <c r="B38" s="7"/>
    </row>
    <row r="39" spans="2:4" ht="15" x14ac:dyDescent="0.25">
      <c r="D39" s="9"/>
    </row>
  </sheetData>
  <mergeCells count="1">
    <mergeCell ref="B2:M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93" t="s">
        <v>103</v>
      </c>
      <c r="C2" s="193"/>
      <c r="D2" s="193"/>
      <c r="E2" s="193"/>
      <c r="F2" s="193"/>
      <c r="G2" s="193"/>
      <c r="H2" s="193"/>
      <c r="I2" s="193"/>
      <c r="J2" s="193"/>
      <c r="K2" s="193"/>
      <c r="L2" s="193"/>
      <c r="M2" s="193"/>
    </row>
    <row r="3" spans="2:13" ht="13.5" thickTop="1" x14ac:dyDescent="0.2">
      <c r="B3" s="145" t="str">
        <f>Tooltype</f>
        <v>Freshwater calculator tool</v>
      </c>
    </row>
    <row r="4" spans="2:13" ht="18" thickBot="1" x14ac:dyDescent="0.35">
      <c r="B4" s="10" t="s">
        <v>0</v>
      </c>
    </row>
    <row r="5" spans="2:13" ht="13.5" thickTop="1" x14ac:dyDescent="0.2"/>
    <row r="6" spans="2:13" x14ac:dyDescent="0.2">
      <c r="B6" s="3" t="s">
        <v>1</v>
      </c>
      <c r="C6" s="57" t="s">
        <v>233</v>
      </c>
    </row>
    <row r="9" spans="2:13" x14ac:dyDescent="0.2">
      <c r="B9" s="47"/>
    </row>
    <row r="12" spans="2:13" x14ac:dyDescent="0.2">
      <c r="D12" s="6"/>
    </row>
    <row r="14" spans="2:13" ht="15" x14ac:dyDescent="0.25">
      <c r="B14" s="7"/>
    </row>
    <row r="16" spans="2:13" x14ac:dyDescent="0.2">
      <c r="D16" s="6"/>
    </row>
    <row r="18" spans="2:2" ht="15" x14ac:dyDescent="0.25">
      <c r="B18" s="7"/>
    </row>
    <row r="19" spans="2:2" ht="15" x14ac:dyDescent="0.25">
      <c r="B19" s="7"/>
    </row>
    <row r="20" spans="2:2" ht="15" x14ac:dyDescent="0.25">
      <c r="B20" s="7"/>
    </row>
    <row r="21" spans="2:2" ht="15" x14ac:dyDescent="0.25">
      <c r="B21" s="7"/>
    </row>
    <row r="27" spans="2:2" ht="15" x14ac:dyDescent="0.25">
      <c r="B27" s="7"/>
    </row>
    <row r="33" spans="2:4" ht="15" x14ac:dyDescent="0.25">
      <c r="B33" s="7"/>
    </row>
    <row r="34" spans="2:4" x14ac:dyDescent="0.2">
      <c r="B34" s="8"/>
    </row>
    <row r="35" spans="2:4" x14ac:dyDescent="0.2">
      <c r="B35" s="8"/>
    </row>
    <row r="36" spans="2:4" x14ac:dyDescent="0.2">
      <c r="B36" s="8"/>
      <c r="D36" s="6"/>
    </row>
    <row r="38" spans="2:4" ht="15" x14ac:dyDescent="0.25">
      <c r="B38" s="7"/>
    </row>
    <row r="39" spans="2:4" ht="15" x14ac:dyDescent="0.25">
      <c r="D39" s="9"/>
    </row>
  </sheetData>
  <mergeCells count="1">
    <mergeCell ref="B2:M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65"/>
  <sheetViews>
    <sheetView zoomScale="90" zoomScaleNormal="90" workbookViewId="0"/>
  </sheetViews>
  <sheetFormatPr defaultRowHeight="12.75" x14ac:dyDescent="0.2"/>
  <cols>
    <col min="2" max="2" width="22.625" customWidth="1"/>
    <col min="3" max="3" width="3.875" style="91" bestFit="1" customWidth="1"/>
    <col min="4" max="4" width="6.375" style="91" customWidth="1"/>
    <col min="5" max="5" width="25.625" customWidth="1"/>
    <col min="6" max="16" width="15.625" customWidth="1"/>
    <col min="17" max="20" width="10.625" customWidth="1"/>
    <col min="21" max="21" width="14.5" bestFit="1" customWidth="1"/>
    <col min="22" max="22" width="18.375" bestFit="1" customWidth="1"/>
    <col min="23" max="24" width="14.5" bestFit="1" customWidth="1"/>
  </cols>
  <sheetData>
    <row r="1" spans="1:14" x14ac:dyDescent="0.2">
      <c r="A1" s="91"/>
      <c r="B1" s="91"/>
      <c r="E1" s="91"/>
      <c r="F1" s="91"/>
      <c r="G1" s="91"/>
      <c r="H1" s="91"/>
      <c r="I1" s="91"/>
      <c r="J1" s="91"/>
      <c r="K1" s="91"/>
      <c r="L1" s="91"/>
      <c r="M1" s="91"/>
      <c r="N1" s="91"/>
    </row>
    <row r="2" spans="1:14" ht="21" customHeight="1" thickBot="1" x14ac:dyDescent="0.35">
      <c r="A2" s="91"/>
      <c r="B2" s="188" t="s">
        <v>103</v>
      </c>
      <c r="C2" s="188"/>
      <c r="D2" s="188"/>
      <c r="E2" s="188"/>
      <c r="F2" s="188"/>
      <c r="G2" s="188"/>
      <c r="H2" s="188"/>
      <c r="I2" s="188"/>
      <c r="J2" s="188"/>
      <c r="K2" s="188"/>
      <c r="L2" s="188"/>
      <c r="M2" s="188"/>
      <c r="N2" s="188"/>
    </row>
    <row r="3" spans="1:14" ht="14.25" customHeight="1" thickTop="1" x14ac:dyDescent="0.2">
      <c r="A3" s="91"/>
      <c r="B3" s="145" t="str">
        <f>Tooltype</f>
        <v>Freshwater calculator tool</v>
      </c>
      <c r="E3" s="91"/>
      <c r="F3" s="91"/>
      <c r="G3" s="91"/>
      <c r="H3" s="91"/>
      <c r="I3" s="91"/>
      <c r="J3" s="91"/>
      <c r="K3" s="91"/>
      <c r="L3" s="91"/>
      <c r="M3" s="91"/>
      <c r="N3" s="91"/>
    </row>
    <row r="4" spans="1:14" ht="14.25" customHeight="1" x14ac:dyDescent="0.2">
      <c r="A4" s="91"/>
      <c r="B4" s="91"/>
      <c r="E4" s="91"/>
      <c r="F4" s="91"/>
      <c r="G4" s="91"/>
      <c r="H4" s="91"/>
      <c r="I4" s="91"/>
      <c r="J4" s="91"/>
      <c r="K4" s="91"/>
      <c r="L4" s="91"/>
      <c r="M4" s="91"/>
      <c r="N4" s="91"/>
    </row>
    <row r="5" spans="1:14" ht="14.25" customHeight="1" x14ac:dyDescent="0.2">
      <c r="A5" s="91"/>
      <c r="B5" s="190" t="s">
        <v>200</v>
      </c>
      <c r="C5" s="190"/>
      <c r="D5" s="190"/>
      <c r="E5" s="190"/>
      <c r="F5" s="190"/>
      <c r="G5" s="190"/>
      <c r="H5" s="190"/>
      <c r="I5" s="190"/>
      <c r="J5" s="91"/>
      <c r="K5" s="91"/>
      <c r="L5" s="91"/>
      <c r="M5" s="91"/>
      <c r="N5" s="91"/>
    </row>
    <row r="6" spans="1:14" ht="99.95" customHeight="1" x14ac:dyDescent="0.2">
      <c r="A6" s="91"/>
      <c r="B6" s="114" t="s">
        <v>9</v>
      </c>
      <c r="C6" s="93" t="s">
        <v>187</v>
      </c>
      <c r="D6" s="93" t="s">
        <v>186</v>
      </c>
      <c r="E6" s="120" t="s">
        <v>11</v>
      </c>
      <c r="F6" s="13" t="s">
        <v>198</v>
      </c>
      <c r="G6" s="13" t="s">
        <v>199</v>
      </c>
      <c r="H6" s="13" t="s">
        <v>196</v>
      </c>
      <c r="I6" s="13" t="s">
        <v>197</v>
      </c>
      <c r="J6" s="91"/>
      <c r="K6" s="91"/>
      <c r="L6" s="91"/>
      <c r="M6" s="91"/>
      <c r="N6" s="91"/>
    </row>
    <row r="7" spans="1:14" ht="14.25" customHeight="1" x14ac:dyDescent="0.2">
      <c r="A7" s="91"/>
      <c r="B7" s="96" t="s">
        <v>106</v>
      </c>
      <c r="C7" s="118" t="s">
        <v>107</v>
      </c>
      <c r="D7" s="118">
        <v>1</v>
      </c>
      <c r="E7" s="121" t="str">
        <f t="shared" ref="E7:E52" si="0">Substance</f>
        <v>Zineb and DIDT</v>
      </c>
      <c r="F7" s="54" t="e">
        <f>'Z_EU Marinas_Scenario_Calc'!S21+'D_EU Marinas_Scenario_Calc'!S21</f>
        <v>#DIV/0!</v>
      </c>
      <c r="G7" s="54" t="e">
        <f>'Z_EU Marinas_Scenario_Calc'!T21+'D_EU Marinas_Scenario_Calc'!T21</f>
        <v>#DIV/0!</v>
      </c>
      <c r="H7" s="54" t="e">
        <f>'Z_EU Marinas_Scenario_Calc'!U21+'D_EU Marinas_Scenario_Calc'!U21</f>
        <v>#DIV/0!</v>
      </c>
      <c r="I7" s="54" t="e">
        <f>'Z_EU Marinas_Scenario_Calc'!V21+'D_EU Marinas_Scenario_Calc'!V21</f>
        <v>#DIV/0!</v>
      </c>
      <c r="J7" s="91"/>
      <c r="K7" s="91"/>
      <c r="L7" s="91"/>
      <c r="M7" s="91"/>
      <c r="N7" s="91"/>
    </row>
    <row r="8" spans="1:14" ht="14.25" customHeight="1" x14ac:dyDescent="0.2">
      <c r="B8" s="96" t="s">
        <v>108</v>
      </c>
      <c r="C8" s="118" t="s">
        <v>107</v>
      </c>
      <c r="D8" s="118">
        <v>2</v>
      </c>
      <c r="E8" s="121" t="str">
        <f t="shared" si="0"/>
        <v>Zineb and DIDT</v>
      </c>
      <c r="F8" s="54" t="e">
        <f>'Z_EU Marinas_Scenario_Calc'!S22+'D_EU Marinas_Scenario_Calc'!S22</f>
        <v>#DIV/0!</v>
      </c>
      <c r="G8" s="54" t="e">
        <f>'Z_EU Marinas_Scenario_Calc'!T22+'D_EU Marinas_Scenario_Calc'!T22</f>
        <v>#DIV/0!</v>
      </c>
      <c r="H8" s="54" t="e">
        <f>'Z_EU Marinas_Scenario_Calc'!U22+'D_EU Marinas_Scenario_Calc'!U22</f>
        <v>#DIV/0!</v>
      </c>
      <c r="I8" s="54" t="e">
        <f>'Z_EU Marinas_Scenario_Calc'!V22+'D_EU Marinas_Scenario_Calc'!V22</f>
        <v>#DIV/0!</v>
      </c>
    </row>
    <row r="9" spans="1:14" ht="14.25" customHeight="1" x14ac:dyDescent="0.2">
      <c r="B9" s="96" t="s">
        <v>109</v>
      </c>
      <c r="C9" s="118" t="s">
        <v>107</v>
      </c>
      <c r="D9" s="118">
        <v>3</v>
      </c>
      <c r="E9" s="121" t="str">
        <f t="shared" si="0"/>
        <v>Zineb and DIDT</v>
      </c>
      <c r="F9" s="54" t="e">
        <f>'Z_EU Marinas_Scenario_Calc'!S23+'D_EU Marinas_Scenario_Calc'!S23</f>
        <v>#DIV/0!</v>
      </c>
      <c r="G9" s="54" t="e">
        <f>'Z_EU Marinas_Scenario_Calc'!T23+'D_EU Marinas_Scenario_Calc'!T23</f>
        <v>#DIV/0!</v>
      </c>
      <c r="H9" s="54" t="e">
        <f>'Z_EU Marinas_Scenario_Calc'!U23+'D_EU Marinas_Scenario_Calc'!U23</f>
        <v>#DIV/0!</v>
      </c>
      <c r="I9" s="54" t="e">
        <f>'Z_EU Marinas_Scenario_Calc'!V23+'D_EU Marinas_Scenario_Calc'!V23</f>
        <v>#DIV/0!</v>
      </c>
    </row>
    <row r="10" spans="1:14" ht="14.25" customHeight="1" x14ac:dyDescent="0.2">
      <c r="B10" s="96" t="s">
        <v>110</v>
      </c>
      <c r="C10" s="118" t="s">
        <v>107</v>
      </c>
      <c r="D10" s="118">
        <v>4</v>
      </c>
      <c r="E10" s="121" t="str">
        <f t="shared" si="0"/>
        <v>Zineb and DIDT</v>
      </c>
      <c r="F10" s="54" t="e">
        <f>'Z_EU Marinas_Scenario_Calc'!S24+'D_EU Marinas_Scenario_Calc'!S24</f>
        <v>#DIV/0!</v>
      </c>
      <c r="G10" s="54" t="e">
        <f>'Z_EU Marinas_Scenario_Calc'!T24+'D_EU Marinas_Scenario_Calc'!T24</f>
        <v>#DIV/0!</v>
      </c>
      <c r="H10" s="54" t="e">
        <f>'Z_EU Marinas_Scenario_Calc'!U24+'D_EU Marinas_Scenario_Calc'!U24</f>
        <v>#DIV/0!</v>
      </c>
      <c r="I10" s="54" t="e">
        <f>'Z_EU Marinas_Scenario_Calc'!V24+'D_EU Marinas_Scenario_Calc'!V24</f>
        <v>#DIV/0!</v>
      </c>
    </row>
    <row r="11" spans="1:14" ht="14.25" customHeight="1" x14ac:dyDescent="0.2">
      <c r="B11" s="96" t="s">
        <v>111</v>
      </c>
      <c r="C11" s="118" t="s">
        <v>107</v>
      </c>
      <c r="D11" s="118">
        <v>5</v>
      </c>
      <c r="E11" s="121" t="str">
        <f t="shared" si="0"/>
        <v>Zineb and DIDT</v>
      </c>
      <c r="F11" s="54" t="e">
        <f>'Z_EU Marinas_Scenario_Calc'!S25+'D_EU Marinas_Scenario_Calc'!S25</f>
        <v>#DIV/0!</v>
      </c>
      <c r="G11" s="54" t="e">
        <f>'Z_EU Marinas_Scenario_Calc'!T25+'D_EU Marinas_Scenario_Calc'!T25</f>
        <v>#DIV/0!</v>
      </c>
      <c r="H11" s="54" t="e">
        <f>'Z_EU Marinas_Scenario_Calc'!U25+'D_EU Marinas_Scenario_Calc'!U25</f>
        <v>#DIV/0!</v>
      </c>
      <c r="I11" s="54" t="e">
        <f>'Z_EU Marinas_Scenario_Calc'!V25+'D_EU Marinas_Scenario_Calc'!V25</f>
        <v>#DIV/0!</v>
      </c>
    </row>
    <row r="12" spans="1:14" ht="14.25" customHeight="1" x14ac:dyDescent="0.2">
      <c r="B12" s="96" t="s">
        <v>112</v>
      </c>
      <c r="C12" s="118" t="s">
        <v>107</v>
      </c>
      <c r="D12" s="118">
        <v>6</v>
      </c>
      <c r="E12" s="121" t="str">
        <f t="shared" si="0"/>
        <v>Zineb and DIDT</v>
      </c>
      <c r="F12" s="54" t="e">
        <f>'Z_EU Marinas_Scenario_Calc'!S26+'D_EU Marinas_Scenario_Calc'!S26</f>
        <v>#DIV/0!</v>
      </c>
      <c r="G12" s="54" t="e">
        <f>'Z_EU Marinas_Scenario_Calc'!T26+'D_EU Marinas_Scenario_Calc'!T26</f>
        <v>#DIV/0!</v>
      </c>
      <c r="H12" s="54" t="e">
        <f>'Z_EU Marinas_Scenario_Calc'!U26+'D_EU Marinas_Scenario_Calc'!U26</f>
        <v>#DIV/0!</v>
      </c>
      <c r="I12" s="54" t="e">
        <f>'Z_EU Marinas_Scenario_Calc'!V26+'D_EU Marinas_Scenario_Calc'!V26</f>
        <v>#DIV/0!</v>
      </c>
    </row>
    <row r="13" spans="1:14" ht="14.25" customHeight="1" x14ac:dyDescent="0.2">
      <c r="B13" s="96" t="s">
        <v>113</v>
      </c>
      <c r="C13" s="118" t="s">
        <v>107</v>
      </c>
      <c r="D13" s="118">
        <v>7</v>
      </c>
      <c r="E13" s="121" t="str">
        <f t="shared" si="0"/>
        <v>Zineb and DIDT</v>
      </c>
      <c r="F13" s="54" t="e">
        <f>'Z_EU Marinas_Scenario_Calc'!S27+'D_EU Marinas_Scenario_Calc'!S27</f>
        <v>#DIV/0!</v>
      </c>
      <c r="G13" s="54" t="e">
        <f>'Z_EU Marinas_Scenario_Calc'!T27+'D_EU Marinas_Scenario_Calc'!T27</f>
        <v>#DIV/0!</v>
      </c>
      <c r="H13" s="54" t="e">
        <f>'Z_EU Marinas_Scenario_Calc'!U27+'D_EU Marinas_Scenario_Calc'!U27</f>
        <v>#DIV/0!</v>
      </c>
      <c r="I13" s="54" t="e">
        <f>'Z_EU Marinas_Scenario_Calc'!V27+'D_EU Marinas_Scenario_Calc'!V27</f>
        <v>#DIV/0!</v>
      </c>
    </row>
    <row r="14" spans="1:14" ht="14.25" customHeight="1" x14ac:dyDescent="0.2">
      <c r="B14" s="96" t="s">
        <v>114</v>
      </c>
      <c r="C14" s="118" t="s">
        <v>115</v>
      </c>
      <c r="D14" s="118">
        <v>2</v>
      </c>
      <c r="E14" s="121" t="str">
        <f t="shared" si="0"/>
        <v>Zineb and DIDT</v>
      </c>
      <c r="F14" s="54" t="e">
        <f>'Z_EU Marinas_Scenario_Calc'!S28+'D_EU Marinas_Scenario_Calc'!S28</f>
        <v>#DIV/0!</v>
      </c>
      <c r="G14" s="54" t="e">
        <f>'Z_EU Marinas_Scenario_Calc'!T28+'D_EU Marinas_Scenario_Calc'!T28</f>
        <v>#DIV/0!</v>
      </c>
      <c r="H14" s="54" t="e">
        <f>'Z_EU Marinas_Scenario_Calc'!U28+'D_EU Marinas_Scenario_Calc'!U28</f>
        <v>#DIV/0!</v>
      </c>
      <c r="I14" s="54" t="e">
        <f>'Z_EU Marinas_Scenario_Calc'!V28+'D_EU Marinas_Scenario_Calc'!V28</f>
        <v>#DIV/0!</v>
      </c>
    </row>
    <row r="15" spans="1:14" ht="14.25" customHeight="1" x14ac:dyDescent="0.2">
      <c r="B15" s="96" t="s">
        <v>116</v>
      </c>
      <c r="C15" s="118" t="s">
        <v>115</v>
      </c>
      <c r="D15" s="118">
        <v>3</v>
      </c>
      <c r="E15" s="121" t="str">
        <f t="shared" si="0"/>
        <v>Zineb and DIDT</v>
      </c>
      <c r="F15" s="54" t="e">
        <f>'Z_EU Marinas_Scenario_Calc'!S29+'D_EU Marinas_Scenario_Calc'!S29</f>
        <v>#DIV/0!</v>
      </c>
      <c r="G15" s="54" t="e">
        <f>'Z_EU Marinas_Scenario_Calc'!T29+'D_EU Marinas_Scenario_Calc'!T29</f>
        <v>#DIV/0!</v>
      </c>
      <c r="H15" s="54" t="e">
        <f>'Z_EU Marinas_Scenario_Calc'!U29+'D_EU Marinas_Scenario_Calc'!U29</f>
        <v>#DIV/0!</v>
      </c>
      <c r="I15" s="54" t="e">
        <f>'Z_EU Marinas_Scenario_Calc'!V29+'D_EU Marinas_Scenario_Calc'!V29</f>
        <v>#DIV/0!</v>
      </c>
    </row>
    <row r="16" spans="1:14" ht="14.25" customHeight="1" x14ac:dyDescent="0.2">
      <c r="B16" s="96" t="s">
        <v>117</v>
      </c>
      <c r="C16" s="118" t="s">
        <v>115</v>
      </c>
      <c r="D16" s="118">
        <v>5</v>
      </c>
      <c r="E16" s="121" t="str">
        <f t="shared" si="0"/>
        <v>Zineb and DIDT</v>
      </c>
      <c r="F16" s="54" t="e">
        <f>'Z_EU Marinas_Scenario_Calc'!S30+'D_EU Marinas_Scenario_Calc'!S30</f>
        <v>#DIV/0!</v>
      </c>
      <c r="G16" s="54" t="e">
        <f>'Z_EU Marinas_Scenario_Calc'!T30+'D_EU Marinas_Scenario_Calc'!T30</f>
        <v>#DIV/0!</v>
      </c>
      <c r="H16" s="54" t="e">
        <f>'Z_EU Marinas_Scenario_Calc'!U30+'D_EU Marinas_Scenario_Calc'!U30</f>
        <v>#DIV/0!</v>
      </c>
      <c r="I16" s="54" t="e">
        <f>'Z_EU Marinas_Scenario_Calc'!V30+'D_EU Marinas_Scenario_Calc'!V30</f>
        <v>#DIV/0!</v>
      </c>
    </row>
    <row r="17" spans="2:9" ht="14.25" customHeight="1" x14ac:dyDescent="0.2">
      <c r="B17" s="96" t="s">
        <v>118</v>
      </c>
      <c r="C17" s="118" t="s">
        <v>115</v>
      </c>
      <c r="D17" s="118">
        <v>6</v>
      </c>
      <c r="E17" s="121" t="str">
        <f t="shared" si="0"/>
        <v>Zineb and DIDT</v>
      </c>
      <c r="F17" s="54" t="e">
        <f>'Z_EU Marinas_Scenario_Calc'!S31+'D_EU Marinas_Scenario_Calc'!S31</f>
        <v>#DIV/0!</v>
      </c>
      <c r="G17" s="54" t="e">
        <f>'Z_EU Marinas_Scenario_Calc'!T31+'D_EU Marinas_Scenario_Calc'!T31</f>
        <v>#DIV/0!</v>
      </c>
      <c r="H17" s="54" t="e">
        <f>'Z_EU Marinas_Scenario_Calc'!U31+'D_EU Marinas_Scenario_Calc'!U31</f>
        <v>#DIV/0!</v>
      </c>
      <c r="I17" s="54" t="e">
        <f>'Z_EU Marinas_Scenario_Calc'!V31+'D_EU Marinas_Scenario_Calc'!V31</f>
        <v>#DIV/0!</v>
      </c>
    </row>
    <row r="18" spans="2:9" ht="14.25" x14ac:dyDescent="0.2">
      <c r="B18" s="96" t="s">
        <v>119</v>
      </c>
      <c r="C18" s="118" t="s">
        <v>115</v>
      </c>
      <c r="D18" s="118">
        <v>11</v>
      </c>
      <c r="E18" s="121" t="str">
        <f t="shared" si="0"/>
        <v>Zineb and DIDT</v>
      </c>
      <c r="F18" s="54" t="e">
        <f>'Z_EU Marinas_Scenario_Calc'!S32+'D_EU Marinas_Scenario_Calc'!S32</f>
        <v>#DIV/0!</v>
      </c>
      <c r="G18" s="54" t="e">
        <f>'Z_EU Marinas_Scenario_Calc'!T32+'D_EU Marinas_Scenario_Calc'!T32</f>
        <v>#DIV/0!</v>
      </c>
      <c r="H18" s="54" t="e">
        <f>'Z_EU Marinas_Scenario_Calc'!U32+'D_EU Marinas_Scenario_Calc'!U32</f>
        <v>#DIV/0!</v>
      </c>
      <c r="I18" s="54" t="e">
        <f>'Z_EU Marinas_Scenario_Calc'!V32+'D_EU Marinas_Scenario_Calc'!V32</f>
        <v>#DIV/0!</v>
      </c>
    </row>
    <row r="19" spans="2:9" ht="14.25" x14ac:dyDescent="0.2">
      <c r="B19" s="96" t="s">
        <v>120</v>
      </c>
      <c r="C19" s="118" t="s">
        <v>115</v>
      </c>
      <c r="D19" s="118">
        <v>12</v>
      </c>
      <c r="E19" s="121" t="str">
        <f t="shared" si="0"/>
        <v>Zineb and DIDT</v>
      </c>
      <c r="F19" s="54" t="e">
        <f>'Z_EU Marinas_Scenario_Calc'!S33+'D_EU Marinas_Scenario_Calc'!S33</f>
        <v>#DIV/0!</v>
      </c>
      <c r="G19" s="54" t="e">
        <f>'Z_EU Marinas_Scenario_Calc'!T33+'D_EU Marinas_Scenario_Calc'!T33</f>
        <v>#DIV/0!</v>
      </c>
      <c r="H19" s="54" t="e">
        <f>'Z_EU Marinas_Scenario_Calc'!U33+'D_EU Marinas_Scenario_Calc'!U33</f>
        <v>#DIV/0!</v>
      </c>
      <c r="I19" s="54" t="e">
        <f>'Z_EU Marinas_Scenario_Calc'!V33+'D_EU Marinas_Scenario_Calc'!V33</f>
        <v>#DIV/0!</v>
      </c>
    </row>
    <row r="20" spans="2:9" ht="14.25" customHeight="1" x14ac:dyDescent="0.2">
      <c r="B20" s="96" t="s">
        <v>121</v>
      </c>
      <c r="C20" s="118" t="s">
        <v>12</v>
      </c>
      <c r="D20" s="118" t="s">
        <v>122</v>
      </c>
      <c r="E20" s="121" t="str">
        <f t="shared" si="0"/>
        <v>Zineb and DIDT</v>
      </c>
      <c r="F20" s="54" t="e">
        <f>'Z_EU Marinas_Scenario_Calc'!S34+'D_EU Marinas_Scenario_Calc'!S34</f>
        <v>#DIV/0!</v>
      </c>
      <c r="G20" s="54" t="e">
        <f>'Z_EU Marinas_Scenario_Calc'!T34+'D_EU Marinas_Scenario_Calc'!T34</f>
        <v>#DIV/0!</v>
      </c>
      <c r="H20" s="54" t="e">
        <f>'Z_EU Marinas_Scenario_Calc'!U34+'D_EU Marinas_Scenario_Calc'!U34</f>
        <v>#DIV/0!</v>
      </c>
      <c r="I20" s="54" t="e">
        <f>'Z_EU Marinas_Scenario_Calc'!V34+'D_EU Marinas_Scenario_Calc'!V34</f>
        <v>#DIV/0!</v>
      </c>
    </row>
    <row r="21" spans="2:9" ht="14.25" customHeight="1" x14ac:dyDescent="0.2">
      <c r="B21" s="96" t="s">
        <v>123</v>
      </c>
      <c r="C21" s="118" t="s">
        <v>12</v>
      </c>
      <c r="D21" s="118" t="s">
        <v>124</v>
      </c>
      <c r="E21" s="121" t="str">
        <f t="shared" si="0"/>
        <v>Zineb and DIDT</v>
      </c>
      <c r="F21" s="54" t="e">
        <f>'Z_EU Marinas_Scenario_Calc'!S35+'D_EU Marinas_Scenario_Calc'!S35</f>
        <v>#DIV/0!</v>
      </c>
      <c r="G21" s="54" t="e">
        <f>'Z_EU Marinas_Scenario_Calc'!T35+'D_EU Marinas_Scenario_Calc'!T35</f>
        <v>#DIV/0!</v>
      </c>
      <c r="H21" s="54" t="e">
        <f>'Z_EU Marinas_Scenario_Calc'!U35+'D_EU Marinas_Scenario_Calc'!U35</f>
        <v>#DIV/0!</v>
      </c>
      <c r="I21" s="54" t="e">
        <f>'Z_EU Marinas_Scenario_Calc'!V35+'D_EU Marinas_Scenario_Calc'!V35</f>
        <v>#DIV/0!</v>
      </c>
    </row>
    <row r="22" spans="2:9" ht="14.25" customHeight="1" x14ac:dyDescent="0.2">
      <c r="B22" s="96" t="s">
        <v>125</v>
      </c>
      <c r="C22" s="118" t="s">
        <v>12</v>
      </c>
      <c r="D22" s="118" t="s">
        <v>126</v>
      </c>
      <c r="E22" s="121" t="str">
        <f t="shared" si="0"/>
        <v>Zineb and DIDT</v>
      </c>
      <c r="F22" s="54" t="e">
        <f>'Z_EU Marinas_Scenario_Calc'!S36+'D_EU Marinas_Scenario_Calc'!S36</f>
        <v>#DIV/0!</v>
      </c>
      <c r="G22" s="54" t="e">
        <f>'Z_EU Marinas_Scenario_Calc'!T36+'D_EU Marinas_Scenario_Calc'!T36</f>
        <v>#DIV/0!</v>
      </c>
      <c r="H22" s="54" t="e">
        <f>'Z_EU Marinas_Scenario_Calc'!U36+'D_EU Marinas_Scenario_Calc'!U36</f>
        <v>#DIV/0!</v>
      </c>
      <c r="I22" s="54" t="e">
        <f>'Z_EU Marinas_Scenario_Calc'!V36+'D_EU Marinas_Scenario_Calc'!V36</f>
        <v>#DIV/0!</v>
      </c>
    </row>
    <row r="23" spans="2:9" ht="14.25" customHeight="1" x14ac:dyDescent="0.2">
      <c r="B23" s="96" t="s">
        <v>127</v>
      </c>
      <c r="C23" s="118" t="s">
        <v>12</v>
      </c>
      <c r="D23" s="118" t="s">
        <v>128</v>
      </c>
      <c r="E23" s="121" t="str">
        <f t="shared" si="0"/>
        <v>Zineb and DIDT</v>
      </c>
      <c r="F23" s="54" t="e">
        <f>'Z_EU Marinas_Scenario_Calc'!S37+'D_EU Marinas_Scenario_Calc'!S37</f>
        <v>#DIV/0!</v>
      </c>
      <c r="G23" s="54" t="e">
        <f>'Z_EU Marinas_Scenario_Calc'!T37+'D_EU Marinas_Scenario_Calc'!T37</f>
        <v>#DIV/0!</v>
      </c>
      <c r="H23" s="54" t="e">
        <f>'Z_EU Marinas_Scenario_Calc'!U37+'D_EU Marinas_Scenario_Calc'!U37</f>
        <v>#DIV/0!</v>
      </c>
      <c r="I23" s="54" t="e">
        <f>'Z_EU Marinas_Scenario_Calc'!V37+'D_EU Marinas_Scenario_Calc'!V37</f>
        <v>#DIV/0!</v>
      </c>
    </row>
    <row r="24" spans="2:9" ht="14.25" customHeight="1" x14ac:dyDescent="0.2">
      <c r="B24" s="96" t="s">
        <v>129</v>
      </c>
      <c r="C24" s="118" t="s">
        <v>12</v>
      </c>
      <c r="D24" s="118" t="s">
        <v>130</v>
      </c>
      <c r="E24" s="121" t="str">
        <f t="shared" si="0"/>
        <v>Zineb and DIDT</v>
      </c>
      <c r="F24" s="54" t="e">
        <f>'Z_EU Marinas_Scenario_Calc'!S38+'D_EU Marinas_Scenario_Calc'!S38</f>
        <v>#DIV/0!</v>
      </c>
      <c r="G24" s="54" t="e">
        <f>'Z_EU Marinas_Scenario_Calc'!T38+'D_EU Marinas_Scenario_Calc'!T38</f>
        <v>#DIV/0!</v>
      </c>
      <c r="H24" s="54" t="e">
        <f>'Z_EU Marinas_Scenario_Calc'!U38+'D_EU Marinas_Scenario_Calc'!U38</f>
        <v>#DIV/0!</v>
      </c>
      <c r="I24" s="54" t="e">
        <f>'Z_EU Marinas_Scenario_Calc'!V38+'D_EU Marinas_Scenario_Calc'!V38</f>
        <v>#DIV/0!</v>
      </c>
    </row>
    <row r="25" spans="2:9" ht="14.25" customHeight="1" x14ac:dyDescent="0.2">
      <c r="B25" s="96" t="s">
        <v>131</v>
      </c>
      <c r="C25" s="118" t="s">
        <v>12</v>
      </c>
      <c r="D25" s="118" t="s">
        <v>132</v>
      </c>
      <c r="E25" s="121" t="str">
        <f t="shared" si="0"/>
        <v>Zineb and DIDT</v>
      </c>
      <c r="F25" s="54" t="e">
        <f>'Z_EU Marinas_Scenario_Calc'!S39+'D_EU Marinas_Scenario_Calc'!S39</f>
        <v>#DIV/0!</v>
      </c>
      <c r="G25" s="54" t="e">
        <f>'Z_EU Marinas_Scenario_Calc'!T39+'D_EU Marinas_Scenario_Calc'!T39</f>
        <v>#DIV/0!</v>
      </c>
      <c r="H25" s="54" t="e">
        <f>'Z_EU Marinas_Scenario_Calc'!U39+'D_EU Marinas_Scenario_Calc'!U39</f>
        <v>#DIV/0!</v>
      </c>
      <c r="I25" s="54" t="e">
        <f>'Z_EU Marinas_Scenario_Calc'!V39+'D_EU Marinas_Scenario_Calc'!V39</f>
        <v>#DIV/0!</v>
      </c>
    </row>
    <row r="26" spans="2:9" ht="14.25" customHeight="1" x14ac:dyDescent="0.2">
      <c r="B26" s="96" t="s">
        <v>133</v>
      </c>
      <c r="C26" s="118" t="s">
        <v>12</v>
      </c>
      <c r="D26" s="118" t="s">
        <v>134</v>
      </c>
      <c r="E26" s="121" t="str">
        <f t="shared" si="0"/>
        <v>Zineb and DIDT</v>
      </c>
      <c r="F26" s="54" t="e">
        <f>'Z_EU Marinas_Scenario_Calc'!S40+'D_EU Marinas_Scenario_Calc'!S40</f>
        <v>#DIV/0!</v>
      </c>
      <c r="G26" s="54" t="e">
        <f>'Z_EU Marinas_Scenario_Calc'!T40+'D_EU Marinas_Scenario_Calc'!T40</f>
        <v>#DIV/0!</v>
      </c>
      <c r="H26" s="54" t="e">
        <f>'Z_EU Marinas_Scenario_Calc'!U40+'D_EU Marinas_Scenario_Calc'!U40</f>
        <v>#DIV/0!</v>
      </c>
      <c r="I26" s="54" t="e">
        <f>'Z_EU Marinas_Scenario_Calc'!V40+'D_EU Marinas_Scenario_Calc'!V40</f>
        <v>#DIV/0!</v>
      </c>
    </row>
    <row r="27" spans="2:9" ht="14.25" customHeight="1" x14ac:dyDescent="0.2">
      <c r="B27" s="96" t="s">
        <v>135</v>
      </c>
      <c r="C27" s="118" t="s">
        <v>12</v>
      </c>
      <c r="D27" s="118" t="s">
        <v>136</v>
      </c>
      <c r="E27" s="121" t="str">
        <f t="shared" si="0"/>
        <v>Zineb and DIDT</v>
      </c>
      <c r="F27" s="54" t="e">
        <f>'Z_EU Marinas_Scenario_Calc'!S41+'D_EU Marinas_Scenario_Calc'!S41</f>
        <v>#DIV/0!</v>
      </c>
      <c r="G27" s="54" t="e">
        <f>'Z_EU Marinas_Scenario_Calc'!T41+'D_EU Marinas_Scenario_Calc'!T41</f>
        <v>#DIV/0!</v>
      </c>
      <c r="H27" s="54" t="e">
        <f>'Z_EU Marinas_Scenario_Calc'!U41+'D_EU Marinas_Scenario_Calc'!U41</f>
        <v>#DIV/0!</v>
      </c>
      <c r="I27" s="54" t="e">
        <f>'Z_EU Marinas_Scenario_Calc'!V41+'D_EU Marinas_Scenario_Calc'!V41</f>
        <v>#DIV/0!</v>
      </c>
    </row>
    <row r="28" spans="2:9" ht="14.25" customHeight="1" x14ac:dyDescent="0.2">
      <c r="B28" s="96" t="s">
        <v>137</v>
      </c>
      <c r="C28" s="118" t="s">
        <v>12</v>
      </c>
      <c r="D28" s="118" t="s">
        <v>138</v>
      </c>
      <c r="E28" s="121" t="str">
        <f t="shared" si="0"/>
        <v>Zineb and DIDT</v>
      </c>
      <c r="F28" s="54" t="e">
        <f>'Z_EU Marinas_Scenario_Calc'!S42+'D_EU Marinas_Scenario_Calc'!S42</f>
        <v>#DIV/0!</v>
      </c>
      <c r="G28" s="54" t="e">
        <f>'Z_EU Marinas_Scenario_Calc'!T42+'D_EU Marinas_Scenario_Calc'!T42</f>
        <v>#DIV/0!</v>
      </c>
      <c r="H28" s="54" t="e">
        <f>'Z_EU Marinas_Scenario_Calc'!U42+'D_EU Marinas_Scenario_Calc'!U42</f>
        <v>#DIV/0!</v>
      </c>
      <c r="I28" s="54" t="e">
        <f>'Z_EU Marinas_Scenario_Calc'!V42+'D_EU Marinas_Scenario_Calc'!V42</f>
        <v>#DIV/0!</v>
      </c>
    </row>
    <row r="29" spans="2:9" ht="14.25" customHeight="1" x14ac:dyDescent="0.2">
      <c r="B29" s="96" t="s">
        <v>139</v>
      </c>
      <c r="C29" s="118" t="s">
        <v>12</v>
      </c>
      <c r="D29" s="118" t="s">
        <v>140</v>
      </c>
      <c r="E29" s="121" t="str">
        <f t="shared" si="0"/>
        <v>Zineb and DIDT</v>
      </c>
      <c r="F29" s="54" t="e">
        <f>'Z_EU Marinas_Scenario_Calc'!S43+'D_EU Marinas_Scenario_Calc'!S43</f>
        <v>#DIV/0!</v>
      </c>
      <c r="G29" s="54" t="e">
        <f>'Z_EU Marinas_Scenario_Calc'!T43+'D_EU Marinas_Scenario_Calc'!T43</f>
        <v>#DIV/0!</v>
      </c>
      <c r="H29" s="54" t="e">
        <f>'Z_EU Marinas_Scenario_Calc'!U43+'D_EU Marinas_Scenario_Calc'!U43</f>
        <v>#DIV/0!</v>
      </c>
      <c r="I29" s="54" t="e">
        <f>'Z_EU Marinas_Scenario_Calc'!V43+'D_EU Marinas_Scenario_Calc'!V43</f>
        <v>#DIV/0!</v>
      </c>
    </row>
    <row r="30" spans="2:9" ht="14.25" customHeight="1" x14ac:dyDescent="0.2">
      <c r="B30" s="96" t="s">
        <v>141</v>
      </c>
      <c r="C30" s="118" t="s">
        <v>13</v>
      </c>
      <c r="D30" s="118">
        <v>1</v>
      </c>
      <c r="E30" s="121" t="str">
        <f t="shared" si="0"/>
        <v>Zineb and DIDT</v>
      </c>
      <c r="F30" s="54" t="e">
        <f>'Z_EU Marinas_Scenario_Calc'!S44+'D_EU Marinas_Scenario_Calc'!S44</f>
        <v>#DIV/0!</v>
      </c>
      <c r="G30" s="54" t="e">
        <f>'Z_EU Marinas_Scenario_Calc'!T44+'D_EU Marinas_Scenario_Calc'!T44</f>
        <v>#DIV/0!</v>
      </c>
      <c r="H30" s="54" t="e">
        <f>'Z_EU Marinas_Scenario_Calc'!U44+'D_EU Marinas_Scenario_Calc'!U44</f>
        <v>#DIV/0!</v>
      </c>
      <c r="I30" s="54" t="e">
        <f>'Z_EU Marinas_Scenario_Calc'!V44+'D_EU Marinas_Scenario_Calc'!V44</f>
        <v>#DIV/0!</v>
      </c>
    </row>
    <row r="31" spans="2:9" ht="14.25" customHeight="1" x14ac:dyDescent="0.2">
      <c r="B31" s="96" t="s">
        <v>142</v>
      </c>
      <c r="C31" s="118" t="s">
        <v>13</v>
      </c>
      <c r="D31" s="118">
        <v>3</v>
      </c>
      <c r="E31" s="121" t="str">
        <f t="shared" si="0"/>
        <v>Zineb and DIDT</v>
      </c>
      <c r="F31" s="54" t="e">
        <f>'Z_EU Marinas_Scenario_Calc'!S45+'D_EU Marinas_Scenario_Calc'!S45</f>
        <v>#DIV/0!</v>
      </c>
      <c r="G31" s="54" t="e">
        <f>'Z_EU Marinas_Scenario_Calc'!T45+'D_EU Marinas_Scenario_Calc'!T45</f>
        <v>#DIV/0!</v>
      </c>
      <c r="H31" s="54" t="e">
        <f>'Z_EU Marinas_Scenario_Calc'!U45+'D_EU Marinas_Scenario_Calc'!U45</f>
        <v>#DIV/0!</v>
      </c>
      <c r="I31" s="54" t="e">
        <f>'Z_EU Marinas_Scenario_Calc'!V45+'D_EU Marinas_Scenario_Calc'!V45</f>
        <v>#DIV/0!</v>
      </c>
    </row>
    <row r="32" spans="2:9" ht="14.25" customHeight="1" x14ac:dyDescent="0.2">
      <c r="B32" s="96" t="s">
        <v>143</v>
      </c>
      <c r="C32" s="118" t="s">
        <v>13</v>
      </c>
      <c r="D32" s="118">
        <v>4</v>
      </c>
      <c r="E32" s="121" t="str">
        <f t="shared" si="0"/>
        <v>Zineb and DIDT</v>
      </c>
      <c r="F32" s="54" t="e">
        <f>'Z_EU Marinas_Scenario_Calc'!S46+'D_EU Marinas_Scenario_Calc'!S46</f>
        <v>#DIV/0!</v>
      </c>
      <c r="G32" s="54" t="e">
        <f>'Z_EU Marinas_Scenario_Calc'!T46+'D_EU Marinas_Scenario_Calc'!T46</f>
        <v>#DIV/0!</v>
      </c>
      <c r="H32" s="54" t="e">
        <f>'Z_EU Marinas_Scenario_Calc'!U46+'D_EU Marinas_Scenario_Calc'!U46</f>
        <v>#DIV/0!</v>
      </c>
      <c r="I32" s="54" t="e">
        <f>'Z_EU Marinas_Scenario_Calc'!V46+'D_EU Marinas_Scenario_Calc'!V46</f>
        <v>#DIV/0!</v>
      </c>
    </row>
    <row r="33" spans="2:9" ht="14.25" customHeight="1" x14ac:dyDescent="0.2">
      <c r="B33" s="96" t="s">
        <v>144</v>
      </c>
      <c r="C33" s="118" t="s">
        <v>13</v>
      </c>
      <c r="D33" s="118">
        <v>6</v>
      </c>
      <c r="E33" s="121" t="str">
        <f t="shared" si="0"/>
        <v>Zineb and DIDT</v>
      </c>
      <c r="F33" s="54" t="e">
        <f>'Z_EU Marinas_Scenario_Calc'!S47+'D_EU Marinas_Scenario_Calc'!S47</f>
        <v>#DIV/0!</v>
      </c>
      <c r="G33" s="54" t="e">
        <f>'Z_EU Marinas_Scenario_Calc'!T47+'D_EU Marinas_Scenario_Calc'!T47</f>
        <v>#DIV/0!</v>
      </c>
      <c r="H33" s="54" t="e">
        <f>'Z_EU Marinas_Scenario_Calc'!U47+'D_EU Marinas_Scenario_Calc'!U47</f>
        <v>#DIV/0!</v>
      </c>
      <c r="I33" s="54" t="e">
        <f>'Z_EU Marinas_Scenario_Calc'!V47+'D_EU Marinas_Scenario_Calc'!V47</f>
        <v>#DIV/0!</v>
      </c>
    </row>
    <row r="34" spans="2:9" ht="14.25" customHeight="1" x14ac:dyDescent="0.2">
      <c r="B34" s="96" t="s">
        <v>145</v>
      </c>
      <c r="C34" s="118" t="s">
        <v>13</v>
      </c>
      <c r="D34" s="118">
        <v>7</v>
      </c>
      <c r="E34" s="121" t="str">
        <f t="shared" si="0"/>
        <v>Zineb and DIDT</v>
      </c>
      <c r="F34" s="54" t="e">
        <f>'Z_EU Marinas_Scenario_Calc'!S48+'D_EU Marinas_Scenario_Calc'!S48</f>
        <v>#DIV/0!</v>
      </c>
      <c r="G34" s="54" t="e">
        <f>'Z_EU Marinas_Scenario_Calc'!T48+'D_EU Marinas_Scenario_Calc'!T48</f>
        <v>#DIV/0!</v>
      </c>
      <c r="H34" s="54" t="e">
        <f>'Z_EU Marinas_Scenario_Calc'!U48+'D_EU Marinas_Scenario_Calc'!U48</f>
        <v>#DIV/0!</v>
      </c>
      <c r="I34" s="54" t="e">
        <f>'Z_EU Marinas_Scenario_Calc'!V48+'D_EU Marinas_Scenario_Calc'!V48</f>
        <v>#DIV/0!</v>
      </c>
    </row>
    <row r="35" spans="2:9" ht="14.25" customHeight="1" x14ac:dyDescent="0.2">
      <c r="B35" s="96" t="s">
        <v>146</v>
      </c>
      <c r="C35" s="118" t="s">
        <v>13</v>
      </c>
      <c r="D35" s="118">
        <v>8</v>
      </c>
      <c r="E35" s="121" t="str">
        <f t="shared" si="0"/>
        <v>Zineb and DIDT</v>
      </c>
      <c r="F35" s="54" t="e">
        <f>'Z_EU Marinas_Scenario_Calc'!S49+'D_EU Marinas_Scenario_Calc'!S49</f>
        <v>#DIV/0!</v>
      </c>
      <c r="G35" s="54" t="e">
        <f>'Z_EU Marinas_Scenario_Calc'!T49+'D_EU Marinas_Scenario_Calc'!T49</f>
        <v>#DIV/0!</v>
      </c>
      <c r="H35" s="54" t="e">
        <f>'Z_EU Marinas_Scenario_Calc'!U49+'D_EU Marinas_Scenario_Calc'!U49</f>
        <v>#DIV/0!</v>
      </c>
      <c r="I35" s="54" t="e">
        <f>'Z_EU Marinas_Scenario_Calc'!V49+'D_EU Marinas_Scenario_Calc'!V49</f>
        <v>#DIV/0!</v>
      </c>
    </row>
    <row r="36" spans="2:9" ht="14.25" customHeight="1" x14ac:dyDescent="0.2">
      <c r="B36" s="96" t="s">
        <v>147</v>
      </c>
      <c r="C36" s="118" t="s">
        <v>13</v>
      </c>
      <c r="D36" s="118">
        <v>14</v>
      </c>
      <c r="E36" s="121" t="str">
        <f t="shared" si="0"/>
        <v>Zineb and DIDT</v>
      </c>
      <c r="F36" s="54" t="e">
        <f>'Z_EU Marinas_Scenario_Calc'!S50+'D_EU Marinas_Scenario_Calc'!S50</f>
        <v>#DIV/0!</v>
      </c>
      <c r="G36" s="54" t="e">
        <f>'Z_EU Marinas_Scenario_Calc'!T50+'D_EU Marinas_Scenario_Calc'!T50</f>
        <v>#DIV/0!</v>
      </c>
      <c r="H36" s="54" t="e">
        <f>'Z_EU Marinas_Scenario_Calc'!U50+'D_EU Marinas_Scenario_Calc'!U50</f>
        <v>#DIV/0!</v>
      </c>
      <c r="I36" s="54" t="e">
        <f>'Z_EU Marinas_Scenario_Calc'!V50+'D_EU Marinas_Scenario_Calc'!V50</f>
        <v>#DIV/0!</v>
      </c>
    </row>
    <row r="37" spans="2:9" ht="14.25" customHeight="1" x14ac:dyDescent="0.2">
      <c r="B37" s="96" t="s">
        <v>148</v>
      </c>
      <c r="C37" s="118" t="s">
        <v>13</v>
      </c>
      <c r="D37" s="118">
        <v>17</v>
      </c>
      <c r="E37" s="121" t="str">
        <f t="shared" si="0"/>
        <v>Zineb and DIDT</v>
      </c>
      <c r="F37" s="54" t="e">
        <f>'Z_EU Marinas_Scenario_Calc'!S51+'D_EU Marinas_Scenario_Calc'!S51</f>
        <v>#DIV/0!</v>
      </c>
      <c r="G37" s="54" t="e">
        <f>'Z_EU Marinas_Scenario_Calc'!T51+'D_EU Marinas_Scenario_Calc'!T51</f>
        <v>#DIV/0!</v>
      </c>
      <c r="H37" s="54" t="e">
        <f>'Z_EU Marinas_Scenario_Calc'!U51+'D_EU Marinas_Scenario_Calc'!U51</f>
        <v>#DIV/0!</v>
      </c>
      <c r="I37" s="54" t="e">
        <f>'Z_EU Marinas_Scenario_Calc'!V51+'D_EU Marinas_Scenario_Calc'!V51</f>
        <v>#DIV/0!</v>
      </c>
    </row>
    <row r="38" spans="2:9" ht="14.25" customHeight="1" x14ac:dyDescent="0.2">
      <c r="B38" s="96" t="s">
        <v>149</v>
      </c>
      <c r="C38" s="118" t="s">
        <v>13</v>
      </c>
      <c r="D38" s="118">
        <v>21</v>
      </c>
      <c r="E38" s="121" t="str">
        <f t="shared" si="0"/>
        <v>Zineb and DIDT</v>
      </c>
      <c r="F38" s="54" t="e">
        <f>'Z_EU Marinas_Scenario_Calc'!S52+'D_EU Marinas_Scenario_Calc'!S52</f>
        <v>#DIV/0!</v>
      </c>
      <c r="G38" s="54" t="e">
        <f>'Z_EU Marinas_Scenario_Calc'!T52+'D_EU Marinas_Scenario_Calc'!T52</f>
        <v>#DIV/0!</v>
      </c>
      <c r="H38" s="54" t="e">
        <f>'Z_EU Marinas_Scenario_Calc'!U52+'D_EU Marinas_Scenario_Calc'!U52</f>
        <v>#DIV/0!</v>
      </c>
      <c r="I38" s="54" t="e">
        <f>'Z_EU Marinas_Scenario_Calc'!V52+'D_EU Marinas_Scenario_Calc'!V52</f>
        <v>#DIV/0!</v>
      </c>
    </row>
    <row r="39" spans="2:9" ht="14.25" customHeight="1" x14ac:dyDescent="0.2">
      <c r="B39" s="96" t="s">
        <v>150</v>
      </c>
      <c r="C39" s="118" t="s">
        <v>13</v>
      </c>
      <c r="D39" s="118">
        <v>26</v>
      </c>
      <c r="E39" s="121" t="str">
        <f t="shared" si="0"/>
        <v>Zineb and DIDT</v>
      </c>
      <c r="F39" s="54" t="e">
        <f>'Z_EU Marinas_Scenario_Calc'!S53+'D_EU Marinas_Scenario_Calc'!S53</f>
        <v>#DIV/0!</v>
      </c>
      <c r="G39" s="54" t="e">
        <f>'Z_EU Marinas_Scenario_Calc'!T53+'D_EU Marinas_Scenario_Calc'!T53</f>
        <v>#DIV/0!</v>
      </c>
      <c r="H39" s="54" t="e">
        <f>'Z_EU Marinas_Scenario_Calc'!U53+'D_EU Marinas_Scenario_Calc'!U53</f>
        <v>#DIV/0!</v>
      </c>
      <c r="I39" s="54" t="e">
        <f>'Z_EU Marinas_Scenario_Calc'!V53+'D_EU Marinas_Scenario_Calc'!V53</f>
        <v>#DIV/0!</v>
      </c>
    </row>
    <row r="40" spans="2:9" ht="14.25" customHeight="1" x14ac:dyDescent="0.2">
      <c r="B40" s="96" t="s">
        <v>151</v>
      </c>
      <c r="C40" s="118" t="s">
        <v>13</v>
      </c>
      <c r="D40" s="118">
        <v>30</v>
      </c>
      <c r="E40" s="121" t="str">
        <f t="shared" si="0"/>
        <v>Zineb and DIDT</v>
      </c>
      <c r="F40" s="54" t="e">
        <f>'Z_EU Marinas_Scenario_Calc'!S54+'D_EU Marinas_Scenario_Calc'!S54</f>
        <v>#DIV/0!</v>
      </c>
      <c r="G40" s="54" t="e">
        <f>'Z_EU Marinas_Scenario_Calc'!T54+'D_EU Marinas_Scenario_Calc'!T54</f>
        <v>#DIV/0!</v>
      </c>
      <c r="H40" s="54" t="e">
        <f>'Z_EU Marinas_Scenario_Calc'!U54+'D_EU Marinas_Scenario_Calc'!U54</f>
        <v>#DIV/0!</v>
      </c>
      <c r="I40" s="54" t="e">
        <f>'Z_EU Marinas_Scenario_Calc'!V54+'D_EU Marinas_Scenario_Calc'!V54</f>
        <v>#DIV/0!</v>
      </c>
    </row>
    <row r="41" spans="2:9" ht="14.25" customHeight="1" x14ac:dyDescent="0.2">
      <c r="B41" s="96" t="s">
        <v>152</v>
      </c>
      <c r="C41" s="118" t="s">
        <v>13</v>
      </c>
      <c r="D41" s="118">
        <v>34</v>
      </c>
      <c r="E41" s="121" t="str">
        <f t="shared" si="0"/>
        <v>Zineb and DIDT</v>
      </c>
      <c r="F41" s="54" t="e">
        <f>'Z_EU Marinas_Scenario_Calc'!S55+'D_EU Marinas_Scenario_Calc'!S55</f>
        <v>#DIV/0!</v>
      </c>
      <c r="G41" s="54" t="e">
        <f>'Z_EU Marinas_Scenario_Calc'!T55+'D_EU Marinas_Scenario_Calc'!T55</f>
        <v>#DIV/0!</v>
      </c>
      <c r="H41" s="54" t="e">
        <f>'Z_EU Marinas_Scenario_Calc'!U55+'D_EU Marinas_Scenario_Calc'!U55</f>
        <v>#DIV/0!</v>
      </c>
      <c r="I41" s="54" t="e">
        <f>'Z_EU Marinas_Scenario_Calc'!V55+'D_EU Marinas_Scenario_Calc'!V55</f>
        <v>#DIV/0!</v>
      </c>
    </row>
    <row r="42" spans="2:9" ht="14.25" customHeight="1" x14ac:dyDescent="0.2">
      <c r="B42" s="96" t="s">
        <v>153</v>
      </c>
      <c r="C42" s="118" t="s">
        <v>13</v>
      </c>
      <c r="D42" s="118">
        <v>40</v>
      </c>
      <c r="E42" s="121" t="str">
        <f t="shared" si="0"/>
        <v>Zineb and DIDT</v>
      </c>
      <c r="F42" s="54" t="e">
        <f>'Z_EU Marinas_Scenario_Calc'!S56+'D_EU Marinas_Scenario_Calc'!S56</f>
        <v>#DIV/0!</v>
      </c>
      <c r="G42" s="54" t="e">
        <f>'Z_EU Marinas_Scenario_Calc'!T56+'D_EU Marinas_Scenario_Calc'!T56</f>
        <v>#DIV/0!</v>
      </c>
      <c r="H42" s="54" t="e">
        <f>'Z_EU Marinas_Scenario_Calc'!U56+'D_EU Marinas_Scenario_Calc'!U56</f>
        <v>#DIV/0!</v>
      </c>
      <c r="I42" s="54" t="e">
        <f>'Z_EU Marinas_Scenario_Calc'!V56+'D_EU Marinas_Scenario_Calc'!V56</f>
        <v>#DIV/0!</v>
      </c>
    </row>
    <row r="43" spans="2:9" ht="14.25" customHeight="1" x14ac:dyDescent="0.2">
      <c r="B43" s="96" t="s">
        <v>154</v>
      </c>
      <c r="C43" s="118" t="s">
        <v>13</v>
      </c>
      <c r="D43" s="118">
        <v>42</v>
      </c>
      <c r="E43" s="121" t="str">
        <f t="shared" si="0"/>
        <v>Zineb and DIDT</v>
      </c>
      <c r="F43" s="54" t="e">
        <f>'Z_EU Marinas_Scenario_Calc'!S57+'D_EU Marinas_Scenario_Calc'!S57</f>
        <v>#DIV/0!</v>
      </c>
      <c r="G43" s="54" t="e">
        <f>'Z_EU Marinas_Scenario_Calc'!T57+'D_EU Marinas_Scenario_Calc'!T57</f>
        <v>#DIV/0!</v>
      </c>
      <c r="H43" s="54" t="e">
        <f>'Z_EU Marinas_Scenario_Calc'!U57+'D_EU Marinas_Scenario_Calc'!U57</f>
        <v>#DIV/0!</v>
      </c>
      <c r="I43" s="54" t="e">
        <f>'Z_EU Marinas_Scenario_Calc'!V57+'D_EU Marinas_Scenario_Calc'!V57</f>
        <v>#DIV/0!</v>
      </c>
    </row>
    <row r="44" spans="2:9" ht="14.25" customHeight="1" x14ac:dyDescent="0.2">
      <c r="B44" s="96" t="s">
        <v>155</v>
      </c>
      <c r="C44" s="118" t="s">
        <v>13</v>
      </c>
      <c r="D44" s="118">
        <v>44</v>
      </c>
      <c r="E44" s="121" t="str">
        <f t="shared" si="0"/>
        <v>Zineb and DIDT</v>
      </c>
      <c r="F44" s="54" t="e">
        <f>'Z_EU Marinas_Scenario_Calc'!S58+'D_EU Marinas_Scenario_Calc'!S58</f>
        <v>#DIV/0!</v>
      </c>
      <c r="G44" s="54" t="e">
        <f>'Z_EU Marinas_Scenario_Calc'!T58+'D_EU Marinas_Scenario_Calc'!T58</f>
        <v>#DIV/0!</v>
      </c>
      <c r="H44" s="54" t="e">
        <f>'Z_EU Marinas_Scenario_Calc'!U58+'D_EU Marinas_Scenario_Calc'!U58</f>
        <v>#DIV/0!</v>
      </c>
      <c r="I44" s="54" t="e">
        <f>'Z_EU Marinas_Scenario_Calc'!V58+'D_EU Marinas_Scenario_Calc'!V58</f>
        <v>#DIV/0!</v>
      </c>
    </row>
    <row r="45" spans="2:9" ht="14.25" customHeight="1" x14ac:dyDescent="0.2">
      <c r="B45" s="96" t="s">
        <v>156</v>
      </c>
      <c r="C45" s="118" t="s">
        <v>13</v>
      </c>
      <c r="D45" s="118">
        <v>45</v>
      </c>
      <c r="E45" s="121" t="str">
        <f t="shared" si="0"/>
        <v>Zineb and DIDT</v>
      </c>
      <c r="F45" s="54" t="e">
        <f>'Z_EU Marinas_Scenario_Calc'!S59+'D_EU Marinas_Scenario_Calc'!S59</f>
        <v>#DIV/0!</v>
      </c>
      <c r="G45" s="54" t="e">
        <f>'Z_EU Marinas_Scenario_Calc'!T59+'D_EU Marinas_Scenario_Calc'!T59</f>
        <v>#DIV/0!</v>
      </c>
      <c r="H45" s="54" t="e">
        <f>'Z_EU Marinas_Scenario_Calc'!U59+'D_EU Marinas_Scenario_Calc'!U59</f>
        <v>#DIV/0!</v>
      </c>
      <c r="I45" s="54" t="e">
        <f>'Z_EU Marinas_Scenario_Calc'!V59+'D_EU Marinas_Scenario_Calc'!V59</f>
        <v>#DIV/0!</v>
      </c>
    </row>
    <row r="46" spans="2:9" ht="14.25" customHeight="1" x14ac:dyDescent="0.2">
      <c r="B46" s="96" t="s">
        <v>157</v>
      </c>
      <c r="C46" s="118" t="s">
        <v>13</v>
      </c>
      <c r="D46" s="118">
        <v>46</v>
      </c>
      <c r="E46" s="121" t="str">
        <f t="shared" si="0"/>
        <v>Zineb and DIDT</v>
      </c>
      <c r="F46" s="54" t="e">
        <f>'Z_EU Marinas_Scenario_Calc'!S60+'D_EU Marinas_Scenario_Calc'!S60</f>
        <v>#DIV/0!</v>
      </c>
      <c r="G46" s="54" t="e">
        <f>'Z_EU Marinas_Scenario_Calc'!T60+'D_EU Marinas_Scenario_Calc'!T60</f>
        <v>#DIV/0!</v>
      </c>
      <c r="H46" s="54" t="e">
        <f>'Z_EU Marinas_Scenario_Calc'!U60+'D_EU Marinas_Scenario_Calc'!U60</f>
        <v>#DIV/0!</v>
      </c>
      <c r="I46" s="54" t="e">
        <f>'Z_EU Marinas_Scenario_Calc'!V60+'D_EU Marinas_Scenario_Calc'!V60</f>
        <v>#DIV/0!</v>
      </c>
    </row>
    <row r="47" spans="2:9" ht="14.25" customHeight="1" x14ac:dyDescent="0.2">
      <c r="B47" s="96" t="s">
        <v>158</v>
      </c>
      <c r="C47" s="118" t="s">
        <v>13</v>
      </c>
      <c r="D47" s="118">
        <v>48</v>
      </c>
      <c r="E47" s="121" t="str">
        <f t="shared" si="0"/>
        <v>Zineb and DIDT</v>
      </c>
      <c r="F47" s="54" t="e">
        <f>'Z_EU Marinas_Scenario_Calc'!S61+'D_EU Marinas_Scenario_Calc'!S61</f>
        <v>#DIV/0!</v>
      </c>
      <c r="G47" s="54" t="e">
        <f>'Z_EU Marinas_Scenario_Calc'!T61+'D_EU Marinas_Scenario_Calc'!T61</f>
        <v>#DIV/0!</v>
      </c>
      <c r="H47" s="54" t="e">
        <f>'Z_EU Marinas_Scenario_Calc'!U61+'D_EU Marinas_Scenario_Calc'!U61</f>
        <v>#DIV/0!</v>
      </c>
      <c r="I47" s="54" t="e">
        <f>'Z_EU Marinas_Scenario_Calc'!V61+'D_EU Marinas_Scenario_Calc'!V61</f>
        <v>#DIV/0!</v>
      </c>
    </row>
    <row r="48" spans="2:9" ht="14.25" customHeight="1" x14ac:dyDescent="0.2">
      <c r="B48" s="96" t="s">
        <v>159</v>
      </c>
      <c r="C48" s="118" t="s">
        <v>160</v>
      </c>
      <c r="D48" s="118">
        <v>1</v>
      </c>
      <c r="E48" s="121" t="str">
        <f t="shared" si="0"/>
        <v>Zineb and DIDT</v>
      </c>
      <c r="F48" s="54" t="e">
        <f>'Z_EU Marinas_Scenario_Calc'!S62+'D_EU Marinas_Scenario_Calc'!S62</f>
        <v>#DIV/0!</v>
      </c>
      <c r="G48" s="54" t="e">
        <f>'Z_EU Marinas_Scenario_Calc'!T62+'D_EU Marinas_Scenario_Calc'!T62</f>
        <v>#DIV/0!</v>
      </c>
      <c r="H48" s="54" t="e">
        <f>'Z_EU Marinas_Scenario_Calc'!U62+'D_EU Marinas_Scenario_Calc'!U62</f>
        <v>#DIV/0!</v>
      </c>
      <c r="I48" s="54" t="e">
        <f>'Z_EU Marinas_Scenario_Calc'!V62+'D_EU Marinas_Scenario_Calc'!V62</f>
        <v>#DIV/0!</v>
      </c>
    </row>
    <row r="49" spans="2:9" ht="14.25" customHeight="1" x14ac:dyDescent="0.2">
      <c r="B49" s="96" t="s">
        <v>161</v>
      </c>
      <c r="C49" s="118" t="s">
        <v>160</v>
      </c>
      <c r="D49" s="118">
        <v>2</v>
      </c>
      <c r="E49" s="121" t="str">
        <f t="shared" si="0"/>
        <v>Zineb and DIDT</v>
      </c>
      <c r="F49" s="54" t="e">
        <f>'Z_EU Marinas_Scenario_Calc'!S63+'D_EU Marinas_Scenario_Calc'!S63</f>
        <v>#DIV/0!</v>
      </c>
      <c r="G49" s="54" t="e">
        <f>'Z_EU Marinas_Scenario_Calc'!T63+'D_EU Marinas_Scenario_Calc'!T63</f>
        <v>#DIV/0!</v>
      </c>
      <c r="H49" s="54" t="e">
        <f>'Z_EU Marinas_Scenario_Calc'!U63+'D_EU Marinas_Scenario_Calc'!U63</f>
        <v>#DIV/0!</v>
      </c>
      <c r="I49" s="54" t="e">
        <f>'Z_EU Marinas_Scenario_Calc'!V63+'D_EU Marinas_Scenario_Calc'!V63</f>
        <v>#DIV/0!</v>
      </c>
    </row>
    <row r="50" spans="2:9" ht="14.25" customHeight="1" x14ac:dyDescent="0.2">
      <c r="B50" s="96" t="s">
        <v>162</v>
      </c>
      <c r="C50" s="118" t="s">
        <v>160</v>
      </c>
      <c r="D50" s="118">
        <v>3</v>
      </c>
      <c r="E50" s="121" t="str">
        <f t="shared" si="0"/>
        <v>Zineb and DIDT</v>
      </c>
      <c r="F50" s="54" t="e">
        <f>'Z_EU Marinas_Scenario_Calc'!S64+'D_EU Marinas_Scenario_Calc'!S64</f>
        <v>#DIV/0!</v>
      </c>
      <c r="G50" s="54" t="e">
        <f>'Z_EU Marinas_Scenario_Calc'!T64+'D_EU Marinas_Scenario_Calc'!T64</f>
        <v>#DIV/0!</v>
      </c>
      <c r="H50" s="54" t="e">
        <f>'Z_EU Marinas_Scenario_Calc'!U64+'D_EU Marinas_Scenario_Calc'!U64</f>
        <v>#DIV/0!</v>
      </c>
      <c r="I50" s="54" t="e">
        <f>'Z_EU Marinas_Scenario_Calc'!V64+'D_EU Marinas_Scenario_Calc'!V64</f>
        <v>#DIV/0!</v>
      </c>
    </row>
    <row r="51" spans="2:9" ht="14.25" customHeight="1" x14ac:dyDescent="0.2">
      <c r="B51" s="96" t="s">
        <v>163</v>
      </c>
      <c r="C51" s="118" t="s">
        <v>160</v>
      </c>
      <c r="D51" s="118">
        <v>4</v>
      </c>
      <c r="E51" s="121" t="str">
        <f t="shared" si="0"/>
        <v>Zineb and DIDT</v>
      </c>
      <c r="F51" s="54" t="e">
        <f>'Z_EU Marinas_Scenario_Calc'!S65+'D_EU Marinas_Scenario_Calc'!S65</f>
        <v>#DIV/0!</v>
      </c>
      <c r="G51" s="54" t="e">
        <f>'Z_EU Marinas_Scenario_Calc'!T65+'D_EU Marinas_Scenario_Calc'!T65</f>
        <v>#DIV/0!</v>
      </c>
      <c r="H51" s="54" t="e">
        <f>'Z_EU Marinas_Scenario_Calc'!U65+'D_EU Marinas_Scenario_Calc'!U65</f>
        <v>#DIV/0!</v>
      </c>
      <c r="I51" s="54" t="e">
        <f>'Z_EU Marinas_Scenario_Calc'!V65+'D_EU Marinas_Scenario_Calc'!V65</f>
        <v>#DIV/0!</v>
      </c>
    </row>
    <row r="52" spans="2:9" ht="14.25" customHeight="1" x14ac:dyDescent="0.2">
      <c r="B52" s="96" t="s">
        <v>164</v>
      </c>
      <c r="C52" s="118" t="s">
        <v>160</v>
      </c>
      <c r="D52" s="118">
        <v>5</v>
      </c>
      <c r="E52" s="121" t="str">
        <f t="shared" si="0"/>
        <v>Zineb and DIDT</v>
      </c>
      <c r="F52" s="54" t="e">
        <f>'Z_EU Marinas_Scenario_Calc'!S66+'D_EU Marinas_Scenario_Calc'!S66</f>
        <v>#DIV/0!</v>
      </c>
      <c r="G52" s="54" t="e">
        <f>'Z_EU Marinas_Scenario_Calc'!T66+'D_EU Marinas_Scenario_Calc'!T66</f>
        <v>#DIV/0!</v>
      </c>
      <c r="H52" s="54" t="e">
        <f>'Z_EU Marinas_Scenario_Calc'!U66+'D_EU Marinas_Scenario_Calc'!U66</f>
        <v>#DIV/0!</v>
      </c>
      <c r="I52" s="54" t="e">
        <f>'Z_EU Marinas_Scenario_Calc'!V66+'D_EU Marinas_Scenario_Calc'!V66</f>
        <v>#DIV/0!</v>
      </c>
    </row>
    <row r="53" spans="2:9" ht="14.25" customHeight="1" x14ac:dyDescent="0.2">
      <c r="B53" s="125" t="s">
        <v>14</v>
      </c>
      <c r="C53" s="126"/>
      <c r="D53" s="126"/>
      <c r="E53" s="17"/>
      <c r="F53" s="127" t="e">
        <f>MAX($F$7:$F$52)</f>
        <v>#DIV/0!</v>
      </c>
      <c r="G53" s="127" t="e">
        <f>MAX($G$7:$G$52)</f>
        <v>#DIV/0!</v>
      </c>
      <c r="H53" s="127" t="e">
        <f>MAX($H$7:$H$52)</f>
        <v>#DIV/0!</v>
      </c>
      <c r="I53" s="127" t="e">
        <f>MAX($I$7:$I$52)</f>
        <v>#DIV/0!</v>
      </c>
    </row>
    <row r="54" spans="2:9" ht="14.25" customHeight="1" x14ac:dyDescent="0.2">
      <c r="B54" s="125" t="s">
        <v>15</v>
      </c>
      <c r="C54" s="126"/>
      <c r="D54" s="126"/>
      <c r="E54" s="17"/>
      <c r="F54" s="127" t="e">
        <f>MIN($F$7:$F$52)</f>
        <v>#DIV/0!</v>
      </c>
      <c r="G54" s="127" t="e">
        <f>MIN($G$7:$G$52)</f>
        <v>#DIV/0!</v>
      </c>
      <c r="H54" s="127" t="e">
        <f>MIN($H$7:$H$52)</f>
        <v>#DIV/0!</v>
      </c>
      <c r="I54" s="127" t="e">
        <f>MIN($I$7:$I$52)</f>
        <v>#DIV/0!</v>
      </c>
    </row>
    <row r="55" spans="2:9" ht="14.25" customHeight="1" x14ac:dyDescent="0.2">
      <c r="B55" s="116" t="s">
        <v>96</v>
      </c>
      <c r="C55" s="17"/>
      <c r="D55" s="17"/>
      <c r="E55" s="17"/>
      <c r="F55" s="127" t="e">
        <f>_xlfn.PERCENTILE.INC($F$7:$F$52,0.9)</f>
        <v>#DIV/0!</v>
      </c>
      <c r="G55" s="127" t="e">
        <f>_xlfn.PERCENTILE.INC($G$7:$G$52,0.9)</f>
        <v>#DIV/0!</v>
      </c>
      <c r="H55" s="127" t="e">
        <f>_xlfn.PERCENTILE.INC($H$7:$H$52,0.9)</f>
        <v>#DIV/0!</v>
      </c>
      <c r="I55" s="127" t="e">
        <f>_xlfn.PERCENTILE.INC($I$7:$I$52,0.9)</f>
        <v>#DIV/0!</v>
      </c>
    </row>
    <row r="56" spans="2:9" ht="14.25" customHeight="1" x14ac:dyDescent="0.2">
      <c r="B56" s="116" t="s">
        <v>97</v>
      </c>
      <c r="C56" s="17"/>
      <c r="D56" s="17"/>
      <c r="E56" s="17"/>
      <c r="F56" s="127" t="e">
        <f>_xlfn.PERCENTILE.INC($F$7:$F$52,0.8)</f>
        <v>#DIV/0!</v>
      </c>
      <c r="G56" s="127" t="e">
        <f>_xlfn.PERCENTILE.INC($G$7:$G$52,0.8)</f>
        <v>#DIV/0!</v>
      </c>
      <c r="H56" s="127" t="e">
        <f>_xlfn.PERCENTILE.INC($H$7:$H$52,0.8)</f>
        <v>#DIV/0!</v>
      </c>
      <c r="I56" s="127" t="e">
        <f>_xlfn.PERCENTILE.INC($I$7:$I$52,0.8)</f>
        <v>#DIV/0!</v>
      </c>
    </row>
    <row r="57" spans="2:9" ht="14.25" customHeight="1" x14ac:dyDescent="0.2">
      <c r="B57" s="116" t="s">
        <v>98</v>
      </c>
      <c r="C57" s="17"/>
      <c r="D57" s="17"/>
      <c r="E57" s="17"/>
      <c r="F57" s="127" t="e">
        <f>_xlfn.PERCENTILE.INC($F$7:$F$52,0.75)</f>
        <v>#DIV/0!</v>
      </c>
      <c r="G57" s="127" t="e">
        <f>_xlfn.PERCENTILE.INC($G$7:$G$52,0.75)</f>
        <v>#DIV/0!</v>
      </c>
      <c r="H57" s="127" t="e">
        <f>_xlfn.PERCENTILE.INC($H$7:$H$52,0.75)</f>
        <v>#DIV/0!</v>
      </c>
      <c r="I57" s="127" t="e">
        <f>_xlfn.PERCENTILE.INC($I$7:$I$52,0.75)</f>
        <v>#DIV/0!</v>
      </c>
    </row>
    <row r="58" spans="2:9" ht="14.25" customHeight="1" x14ac:dyDescent="0.2">
      <c r="B58" s="116" t="s">
        <v>99</v>
      </c>
      <c r="C58" s="17"/>
      <c r="D58" s="17"/>
      <c r="E58" s="17"/>
      <c r="F58" s="127" t="e">
        <f>_xlfn.PERCENTILE.INC($F$7:$F$52,0.5)</f>
        <v>#DIV/0!</v>
      </c>
      <c r="G58" s="127" t="e">
        <f>_xlfn.PERCENTILE.INC($G$7:$G$52,0.5)</f>
        <v>#DIV/0!</v>
      </c>
      <c r="H58" s="127" t="e">
        <f>_xlfn.PERCENTILE.INC($H$7:$H$52,0.5)</f>
        <v>#DIV/0!</v>
      </c>
      <c r="I58" s="127" t="e">
        <f>_xlfn.PERCENTILE.INC($I$7:$I$52,0.5)</f>
        <v>#DIV/0!</v>
      </c>
    </row>
    <row r="59" spans="2:9" ht="14.25" customHeight="1" x14ac:dyDescent="0.2">
      <c r="B59" s="116" t="s">
        <v>100</v>
      </c>
      <c r="C59" s="17"/>
      <c r="D59" s="17"/>
      <c r="E59" s="17"/>
      <c r="F59" s="127" t="e">
        <f>_xlfn.PERCENTILE.INC($F$7:$F$52,0.25)</f>
        <v>#DIV/0!</v>
      </c>
      <c r="G59" s="127" t="e">
        <f>_xlfn.PERCENTILE.INC($G$7:$G$52,0.25)</f>
        <v>#DIV/0!</v>
      </c>
      <c r="H59" s="127" t="e">
        <f>_xlfn.PERCENTILE.INC($H$7:$H$52,0.25)</f>
        <v>#DIV/0!</v>
      </c>
      <c r="I59" s="127" t="e">
        <f>_xlfn.PERCENTILE.INC($I$7:$I$52,0.25)</f>
        <v>#DIV/0!</v>
      </c>
    </row>
    <row r="60" spans="2:9" ht="14.25" customHeight="1" x14ac:dyDescent="0.2">
      <c r="B60" s="116" t="s">
        <v>101</v>
      </c>
      <c r="C60" s="17"/>
      <c r="D60" s="17"/>
      <c r="E60" s="17"/>
      <c r="F60" s="127" t="e">
        <f>_xlfn.PERCENTILE.INC($F$7:$F$52,0.1)</f>
        <v>#DIV/0!</v>
      </c>
      <c r="G60" s="127" t="e">
        <f>_xlfn.PERCENTILE.INC($G$7:$G$52,0.1)</f>
        <v>#DIV/0!</v>
      </c>
      <c r="H60" s="127" t="e">
        <f>_xlfn.PERCENTILE.INC($H$7:$H$52,0.1)</f>
        <v>#DIV/0!</v>
      </c>
      <c r="I60" s="127" t="e">
        <f>_xlfn.PERCENTILE.INC($I$7:$I$52,0.1)</f>
        <v>#DIV/0!</v>
      </c>
    </row>
    <row r="61" spans="2:9" ht="14.25" customHeight="1" x14ac:dyDescent="0.2"/>
    <row r="62" spans="2:9" ht="14.25" customHeight="1" x14ac:dyDescent="0.2"/>
    <row r="63" spans="2:9" ht="14.25" customHeight="1" x14ac:dyDescent="0.2"/>
    <row r="64" spans="2:9" ht="14.25" customHeight="1" x14ac:dyDescent="0.2"/>
    <row r="65" ht="14.25" customHeight="1" x14ac:dyDescent="0.2"/>
  </sheetData>
  <mergeCells count="2">
    <mergeCell ref="B2:N2"/>
    <mergeCell ref="B5:I5"/>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22"/>
  <sheetViews>
    <sheetView zoomScale="90" zoomScaleNormal="90" workbookViewId="0"/>
  </sheetViews>
  <sheetFormatPr defaultRowHeight="12.75" x14ac:dyDescent="0.2"/>
  <cols>
    <col min="1" max="1" width="9" style="91"/>
    <col min="2" max="2" width="31.625" style="91" customWidth="1"/>
    <col min="3" max="3" width="25.625" style="91" customWidth="1"/>
    <col min="4" max="10" width="15.625" style="91" customWidth="1"/>
    <col min="11" max="13" width="9" style="91"/>
    <col min="14" max="18" width="12.625" style="91" customWidth="1"/>
    <col min="19" max="16384" width="9" style="91"/>
  </cols>
  <sheetData>
    <row r="2" spans="1:12" customFormat="1" ht="21" thickBot="1" x14ac:dyDescent="0.35">
      <c r="A2" s="91"/>
      <c r="B2" s="188" t="s">
        <v>103</v>
      </c>
      <c r="C2" s="188"/>
      <c r="D2" s="188"/>
      <c r="E2" s="188"/>
      <c r="F2" s="188"/>
      <c r="G2" s="188"/>
      <c r="H2" s="188"/>
      <c r="I2" s="188"/>
      <c r="J2" s="188"/>
      <c r="K2" s="188"/>
      <c r="L2" s="188"/>
    </row>
    <row r="3" spans="1:12" customFormat="1" ht="14.25" customHeight="1" thickTop="1" x14ac:dyDescent="0.2">
      <c r="A3" s="91"/>
      <c r="B3" s="145" t="str">
        <f>Tooltype</f>
        <v>Freshwater calculator tool</v>
      </c>
      <c r="C3" s="91"/>
      <c r="D3" s="91"/>
      <c r="E3" s="91"/>
      <c r="F3" s="91"/>
      <c r="G3" s="91"/>
      <c r="H3" s="91"/>
      <c r="I3" s="91"/>
      <c r="J3" s="91"/>
      <c r="K3" s="91"/>
      <c r="L3" s="91"/>
    </row>
    <row r="4" spans="1:12" customFormat="1" ht="14.25" customHeight="1" x14ac:dyDescent="0.2">
      <c r="A4" s="91"/>
      <c r="B4" s="91"/>
      <c r="C4" s="91"/>
      <c r="D4" s="91"/>
      <c r="E4" s="91"/>
      <c r="F4" s="91"/>
      <c r="G4" s="91"/>
      <c r="H4" s="91"/>
      <c r="I4" s="91"/>
      <c r="J4" s="91"/>
      <c r="K4" s="91"/>
      <c r="L4" s="91"/>
    </row>
    <row r="5" spans="1:12" customFormat="1" ht="14.25" customHeight="1" x14ac:dyDescent="0.2">
      <c r="A5" s="91"/>
      <c r="B5" s="190" t="s">
        <v>200</v>
      </c>
      <c r="C5" s="190"/>
      <c r="D5" s="190"/>
      <c r="E5" s="190"/>
      <c r="F5" s="190"/>
      <c r="G5" s="190"/>
      <c r="H5" s="91"/>
      <c r="I5" s="91"/>
      <c r="J5" s="91"/>
      <c r="K5" s="91"/>
      <c r="L5" s="91"/>
    </row>
    <row r="6" spans="1:12" customFormat="1" ht="99.95" customHeight="1" x14ac:dyDescent="0.2">
      <c r="A6" s="91"/>
      <c r="B6" s="102" t="s">
        <v>9</v>
      </c>
      <c r="C6" s="102" t="s">
        <v>11</v>
      </c>
      <c r="D6" s="13" t="s">
        <v>198</v>
      </c>
      <c r="E6" s="13" t="s">
        <v>199</v>
      </c>
      <c r="F6" s="13" t="s">
        <v>196</v>
      </c>
      <c r="G6" s="13" t="s">
        <v>197</v>
      </c>
      <c r="H6" s="91"/>
      <c r="I6" s="91"/>
      <c r="J6" s="91"/>
      <c r="K6" s="91"/>
      <c r="L6" s="91"/>
    </row>
    <row r="7" spans="1:12" customFormat="1" ht="14.25" customHeight="1" x14ac:dyDescent="0.2">
      <c r="A7" s="91"/>
      <c r="B7" s="119" t="s">
        <v>172</v>
      </c>
      <c r="C7" s="105" t="str">
        <f>Substance</f>
        <v>Zineb and DIDT</v>
      </c>
      <c r="D7" s="54" t="e">
        <f>'Z_Regulatory_ Marinas_Calc'!Q21+'D_Regulatory_ Marinas_Calc'!Q21</f>
        <v>#DIV/0!</v>
      </c>
      <c r="E7" s="54" t="e">
        <f>'Z_Regulatory_ Marinas_Calc'!R21+'D_Regulatory_ Marinas_Calc'!R21</f>
        <v>#DIV/0!</v>
      </c>
      <c r="F7" s="54" t="e">
        <f>'Z_Regulatory_ Marinas_Calc'!S21+'D_Regulatory_ Marinas_Calc'!S21</f>
        <v>#DIV/0!</v>
      </c>
      <c r="G7" s="54" t="e">
        <f>'Z_Regulatory_ Marinas_Calc'!T21+'D_Regulatory_ Marinas_Calc'!T21</f>
        <v>#DIV/0!</v>
      </c>
      <c r="H7" s="91"/>
      <c r="I7" s="91"/>
      <c r="J7" s="91"/>
      <c r="K7" s="91"/>
      <c r="L7" s="91"/>
    </row>
    <row r="8" spans="1:12" customFormat="1" ht="14.25" customHeight="1" x14ac:dyDescent="0.2">
      <c r="A8" s="91"/>
      <c r="B8" s="119" t="s">
        <v>173</v>
      </c>
      <c r="C8" s="105" t="str">
        <f>Substance</f>
        <v>Zineb and DIDT</v>
      </c>
      <c r="D8" s="54" t="e">
        <f>'Z_Regulatory_ Marinas_Calc'!Q22+'D_Regulatory_ Marinas_Calc'!Q22</f>
        <v>#DIV/0!</v>
      </c>
      <c r="E8" s="54" t="e">
        <f>'Z_Regulatory_ Marinas_Calc'!R22+'D_Regulatory_ Marinas_Calc'!R22</f>
        <v>#DIV/0!</v>
      </c>
      <c r="F8" s="54" t="e">
        <f>'Z_Regulatory_ Marinas_Calc'!S22+'D_Regulatory_ Marinas_Calc'!S22</f>
        <v>#DIV/0!</v>
      </c>
      <c r="G8" s="54" t="e">
        <f>'Z_Regulatory_ Marinas_Calc'!T22+'D_Regulatory_ Marinas_Calc'!T22</f>
        <v>#DIV/0!</v>
      </c>
    </row>
    <row r="9" spans="1:12" customFormat="1" ht="14.25" customHeight="1" x14ac:dyDescent="0.2">
      <c r="A9" s="91"/>
    </row>
    <row r="10" spans="1:12" customFormat="1" ht="14.25" customHeight="1" x14ac:dyDescent="0.2">
      <c r="A10" s="91"/>
    </row>
    <row r="11" spans="1:12" customFormat="1" ht="14.25" customHeight="1" x14ac:dyDescent="0.2">
      <c r="A11" s="91"/>
    </row>
    <row r="12" spans="1:12" customFormat="1" ht="14.25" customHeight="1" x14ac:dyDescent="0.2">
      <c r="A12" s="91"/>
    </row>
    <row r="13" spans="1:12" customFormat="1" ht="14.25" customHeight="1" x14ac:dyDescent="0.2">
      <c r="A13" s="91"/>
    </row>
    <row r="14" spans="1:12" customFormat="1" ht="14.25" customHeight="1" x14ac:dyDescent="0.2">
      <c r="A14" s="91"/>
    </row>
    <row r="15" spans="1:12" customFormat="1" ht="14.25" customHeight="1" x14ac:dyDescent="0.2">
      <c r="A15" s="91"/>
    </row>
    <row r="16" spans="1:12" customFormat="1" ht="14.25" customHeight="1" x14ac:dyDescent="0.2">
      <c r="A16" s="91"/>
    </row>
    <row r="17" spans="1:1" customFormat="1" ht="14.25" customHeight="1" x14ac:dyDescent="0.2">
      <c r="A17" s="91"/>
    </row>
    <row r="18" spans="1:1" customFormat="1" ht="14.25" customHeight="1" x14ac:dyDescent="0.2">
      <c r="A18" s="91"/>
    </row>
    <row r="19" spans="1:1" customFormat="1" x14ac:dyDescent="0.2">
      <c r="A19" s="91"/>
    </row>
    <row r="20" spans="1:1" customFormat="1" x14ac:dyDescent="0.2">
      <c r="A20" s="91"/>
    </row>
    <row r="21" spans="1:1" customFormat="1" ht="15" customHeight="1" x14ac:dyDescent="0.2">
      <c r="A21" s="91"/>
    </row>
    <row r="22" spans="1:1" customFormat="1" ht="15" customHeight="1" x14ac:dyDescent="0.2">
      <c r="A22" s="91"/>
    </row>
  </sheetData>
  <mergeCells count="2">
    <mergeCell ref="B2:L2"/>
    <mergeCell ref="B5:G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1.125" style="3" customWidth="1"/>
    <col min="3" max="3" width="3.875" style="3" bestFit="1" customWidth="1"/>
    <col min="4" max="4" width="5.75" style="3" bestFit="1"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customHeight="1" thickBot="1" x14ac:dyDescent="0.35">
      <c r="B2" s="193" t="s">
        <v>103</v>
      </c>
      <c r="C2" s="193"/>
      <c r="D2" s="193"/>
      <c r="E2" s="193"/>
      <c r="F2" s="193"/>
      <c r="G2" s="193"/>
      <c r="H2" s="193"/>
      <c r="I2" s="193"/>
      <c r="J2" s="193"/>
      <c r="K2" s="193"/>
      <c r="L2" s="193"/>
      <c r="M2" s="193"/>
      <c r="N2" s="193"/>
      <c r="O2" s="193"/>
      <c r="P2" s="193"/>
      <c r="Q2" s="193"/>
      <c r="R2" s="193"/>
    </row>
    <row r="3" spans="2:18" ht="15" customHeight="1" thickTop="1" x14ac:dyDescent="0.2">
      <c r="B3" s="145" t="str">
        <f>Tooltype</f>
        <v>Freshwater calculator tool</v>
      </c>
    </row>
    <row r="4" spans="2:18" ht="15" customHeight="1" thickBot="1" x14ac:dyDescent="0.35">
      <c r="B4" s="195" t="s">
        <v>49</v>
      </c>
      <c r="C4" s="195"/>
      <c r="D4" s="195"/>
      <c r="E4" s="195"/>
      <c r="F4" s="195"/>
      <c r="G4" s="195"/>
      <c r="H4" s="195"/>
      <c r="K4" s="195" t="s">
        <v>249</v>
      </c>
      <c r="L4" s="195"/>
      <c r="M4" s="195"/>
      <c r="N4" s="195"/>
      <c r="O4" s="195"/>
      <c r="P4" s="195"/>
      <c r="Q4" s="195"/>
    </row>
    <row r="5" spans="2:18" ht="15" customHeight="1" thickTop="1" x14ac:dyDescent="0.2"/>
    <row r="6" spans="2:18" ht="15" customHeight="1" x14ac:dyDescent="0.2">
      <c r="B6" s="3" t="s">
        <v>69</v>
      </c>
      <c r="G6" s="53">
        <v>2.5</v>
      </c>
      <c r="H6" s="28" t="s">
        <v>166</v>
      </c>
      <c r="K6" s="6" t="s">
        <v>251</v>
      </c>
      <c r="P6" s="57">
        <v>30.7</v>
      </c>
      <c r="Q6" s="6" t="s">
        <v>226</v>
      </c>
    </row>
    <row r="7" spans="2:18" ht="15" customHeight="1" x14ac:dyDescent="0.2">
      <c r="B7" s="3" t="s">
        <v>54</v>
      </c>
      <c r="G7" s="3">
        <f>Z_Average_biocide_release_over_the_lifetime_of_the_paint_M</f>
        <v>0</v>
      </c>
      <c r="H7" s="28" t="s">
        <v>166</v>
      </c>
      <c r="K7" s="6" t="s">
        <v>250</v>
      </c>
      <c r="P7" s="156">
        <v>22</v>
      </c>
      <c r="Q7" s="6" t="s">
        <v>226</v>
      </c>
    </row>
    <row r="8" spans="2:18" ht="15" customHeight="1" x14ac:dyDescent="0.2">
      <c r="B8" s="3" t="s">
        <v>55</v>
      </c>
      <c r="G8" s="37" t="e">
        <f>Z_Average_biocide_release_over_the_lifetime_of_the_paint_C</f>
        <v>#DIV/0!</v>
      </c>
      <c r="H8" s="28" t="s">
        <v>166</v>
      </c>
      <c r="K8" s="3" t="s">
        <v>50</v>
      </c>
      <c r="P8" s="37">
        <f>WSA_freshwater/WSA_OECD_default</f>
        <v>0.71661237785016285</v>
      </c>
      <c r="Q8" s="109" t="s">
        <v>2</v>
      </c>
    </row>
    <row r="9" spans="2:18" ht="15" customHeight="1" x14ac:dyDescent="0.2">
      <c r="B9" s="3" t="s">
        <v>53</v>
      </c>
      <c r="G9" s="40">
        <f>IF(ISBLANK(Z_Average_biocide_release_over_the_lifetime_of_the_paint_M),1,0)</f>
        <v>1</v>
      </c>
      <c r="H9" s="28"/>
    </row>
    <row r="10" spans="2:18" ht="15" customHeight="1" x14ac:dyDescent="0.2">
      <c r="B10" s="3" t="s">
        <v>52</v>
      </c>
      <c r="G10" s="37" t="e">
        <f>IF((G9&lt;1),Z_Average_biocide_release_over_the_lifetime_of_the_paint_M,Z_Average_biocide_release_over_the_lifetime_of_the_paint_C)</f>
        <v>#DIV/0!</v>
      </c>
      <c r="H10" s="28" t="s">
        <v>166</v>
      </c>
    </row>
    <row r="11" spans="2:18" ht="15" customHeight="1" x14ac:dyDescent="0.2">
      <c r="B11" s="3" t="s">
        <v>50</v>
      </c>
      <c r="G11" s="37" t="e">
        <f>G10/G6</f>
        <v>#DIV/0!</v>
      </c>
      <c r="H11" s="3" t="s">
        <v>2</v>
      </c>
    </row>
    <row r="12" spans="2:18" ht="15" customHeight="1" x14ac:dyDescent="0.2">
      <c r="G12" s="37"/>
    </row>
    <row r="13" spans="2:18" ht="15" customHeight="1" thickBot="1" x14ac:dyDescent="0.35">
      <c r="B13" s="195" t="s">
        <v>68</v>
      </c>
      <c r="C13" s="195"/>
      <c r="D13" s="195"/>
      <c r="E13" s="195"/>
      <c r="F13" s="195"/>
      <c r="G13" s="195"/>
      <c r="H13" s="195"/>
    </row>
    <row r="14" spans="2:18" ht="15" customHeight="1" thickTop="1" x14ac:dyDescent="0.2"/>
    <row r="15" spans="2:18" ht="15" customHeight="1" x14ac:dyDescent="0.2">
      <c r="B15" s="3" t="s">
        <v>75</v>
      </c>
      <c r="G15" s="157">
        <v>0.9</v>
      </c>
    </row>
    <row r="16" spans="2:18" ht="15" customHeight="1" x14ac:dyDescent="0.2">
      <c r="B16" s="3" t="s">
        <v>70</v>
      </c>
      <c r="G16" s="37">
        <f>Application_Factor</f>
        <v>0.9</v>
      </c>
    </row>
    <row r="17" spans="2:22" ht="15" customHeight="1" x14ac:dyDescent="0.2">
      <c r="B17" s="3" t="s">
        <v>50</v>
      </c>
      <c r="G17" s="37">
        <f>G16/G15</f>
        <v>1</v>
      </c>
      <c r="H17" s="51"/>
    </row>
    <row r="18" spans="2:22" ht="15" customHeight="1" x14ac:dyDescent="0.2"/>
    <row r="19" spans="2:22" ht="15" x14ac:dyDescent="0.2">
      <c r="B19" s="190" t="s">
        <v>83</v>
      </c>
      <c r="C19" s="190"/>
      <c r="D19" s="190"/>
      <c r="E19" s="190"/>
      <c r="F19" s="190"/>
      <c r="G19" s="190"/>
      <c r="H19" s="190"/>
      <c r="I19" s="190"/>
      <c r="J19" s="190"/>
      <c r="K19" s="190"/>
      <c r="L19" s="190"/>
      <c r="M19" s="190"/>
      <c r="N19" s="190"/>
      <c r="O19" s="190"/>
      <c r="P19" s="190"/>
      <c r="Q19" s="190"/>
      <c r="R19" s="190"/>
      <c r="S19" s="190"/>
      <c r="T19" s="190"/>
      <c r="U19" s="190"/>
      <c r="V19" s="190"/>
    </row>
    <row r="20" spans="2:22" ht="95.1" customHeight="1" x14ac:dyDescent="0.2">
      <c r="B20" s="92" t="s">
        <v>9</v>
      </c>
      <c r="C20" s="93" t="s">
        <v>187</v>
      </c>
      <c r="D20" s="93" t="s">
        <v>186</v>
      </c>
      <c r="E20" s="92" t="s">
        <v>11</v>
      </c>
      <c r="F20" s="12" t="s">
        <v>76</v>
      </c>
      <c r="G20" s="13" t="s">
        <v>227</v>
      </c>
      <c r="H20" s="13" t="s">
        <v>228</v>
      </c>
      <c r="I20" s="13" t="s">
        <v>188</v>
      </c>
      <c r="J20" s="13" t="s">
        <v>229</v>
      </c>
      <c r="K20" s="13" t="s">
        <v>176</v>
      </c>
      <c r="L20" s="13" t="s">
        <v>230</v>
      </c>
      <c r="M20" s="13" t="s">
        <v>177</v>
      </c>
      <c r="N20" s="13" t="s">
        <v>231</v>
      </c>
      <c r="O20" s="12" t="s">
        <v>181</v>
      </c>
      <c r="P20" s="12" t="s">
        <v>180</v>
      </c>
      <c r="Q20" s="12" t="s">
        <v>179</v>
      </c>
      <c r="R20" s="12" t="s">
        <v>189</v>
      </c>
      <c r="S20" s="12" t="s">
        <v>60</v>
      </c>
      <c r="T20" s="12" t="s">
        <v>61</v>
      </c>
      <c r="U20" s="12" t="s">
        <v>62</v>
      </c>
      <c r="V20" s="12" t="s">
        <v>63</v>
      </c>
    </row>
    <row r="21" spans="2:22" ht="14.25" customHeight="1" x14ac:dyDescent="0.2">
      <c r="B21" s="96" t="s">
        <v>106</v>
      </c>
      <c r="C21" s="11" t="s">
        <v>107</v>
      </c>
      <c r="D21" s="11">
        <v>1</v>
      </c>
      <c r="E21" s="96" t="str">
        <f t="shared" ref="E21:E66" si="0">Z_Compound_Name</f>
        <v>Zineb</v>
      </c>
      <c r="F21" s="56">
        <v>220</v>
      </c>
      <c r="G21" s="100">
        <v>3.6902442201972002E-2</v>
      </c>
      <c r="H21" s="100">
        <v>3.5145184228895198E-4</v>
      </c>
      <c r="I21" s="100">
        <v>5.0718159436395203E-6</v>
      </c>
      <c r="J21" s="100">
        <v>4.8303010994899002E-8</v>
      </c>
      <c r="K21" s="54" t="e">
        <f t="shared" ref="K21:K66" si="1">((($F21/100)*$G21)*Z_Leaching_Conversion_Factor*Application_Conversion_Factor*WSA_ConversionFactor)+Z_Background_SW_Freshwater</f>
        <v>#DIV/0!</v>
      </c>
      <c r="L21" s="54" t="e">
        <f t="shared" ref="L21:L66" si="2">((($F21/100)*$H21)*Z_Leaching_Conversion_Factor*Application_Conversion_Factor*WSA_ConversionFactor)+Z_Background_Sed_Freshwater</f>
        <v>#DIV/0!</v>
      </c>
      <c r="M21" s="54" t="e">
        <f t="shared" ref="M21:M66" si="3">((($F21/100)*$I21)*Z_Leaching_Conversion_Factor*Application_Conversion_Factor*WSA_ConversionFactor)+Z_Background_SW_Freshwater</f>
        <v>#DIV/0!</v>
      </c>
      <c r="N21" s="54" t="e">
        <f t="shared" ref="N21:N66" si="4">((($F21/100)*$J21)*Z_Leaching_Conversion_Factor*Application_Conversion_Factor*WSA_ConversionFactor)+Z_Background_Sed_Freshwater</f>
        <v>#DIV/0!</v>
      </c>
      <c r="O21" s="196">
        <f>Z_PNEC_Aquatic_Inside</f>
        <v>0.219</v>
      </c>
      <c r="P21" s="196">
        <f>Z_PNEC_Sediment_Inside</f>
        <v>4.5499999999999999E-2</v>
      </c>
      <c r="Q21" s="196">
        <f>Z_PNEC_Aquatic_Surrounding</f>
        <v>0.219</v>
      </c>
      <c r="R21" s="196">
        <f>Z_PNEC_Sediment_Surrounding</f>
        <v>4.5499999999999999E-2</v>
      </c>
      <c r="S21" s="73" t="e">
        <f t="shared" ref="S21:S66" si="5">$K21/Z_PNEC_Aquatic_Inside</f>
        <v>#DIV/0!</v>
      </c>
      <c r="T21" s="73" t="e">
        <f t="shared" ref="T21:T66" si="6">$L21/Z_PNEC_Sediment_Inside</f>
        <v>#DIV/0!</v>
      </c>
      <c r="U21" s="73" t="e">
        <f t="shared" ref="U21:U66" si="7">$M21/Z_PNEC_Aquatic_Surrounding</f>
        <v>#DIV/0!</v>
      </c>
      <c r="V21" s="73" t="e">
        <f t="shared" ref="V21:V66" si="8">$N21/Z_PNEC_Sediment_Surrounding</f>
        <v>#DIV/0!</v>
      </c>
    </row>
    <row r="22" spans="2:22" ht="14.25" customHeight="1" x14ac:dyDescent="0.2">
      <c r="B22" s="96" t="s">
        <v>108</v>
      </c>
      <c r="C22" s="11" t="s">
        <v>107</v>
      </c>
      <c r="D22" s="11">
        <v>2</v>
      </c>
      <c r="E22" s="96" t="str">
        <f t="shared" si="0"/>
        <v>Zineb</v>
      </c>
      <c r="F22" s="56">
        <v>252</v>
      </c>
      <c r="G22" s="100">
        <v>3.6142256110906601E-2</v>
      </c>
      <c r="H22" s="100">
        <v>3.4421197342453502E-4</v>
      </c>
      <c r="I22" s="100">
        <v>7.1116662209410196E-6</v>
      </c>
      <c r="J22" s="100">
        <v>6.7730157149078102E-8</v>
      </c>
      <c r="K22" s="54" t="e">
        <f t="shared" si="1"/>
        <v>#DIV/0!</v>
      </c>
      <c r="L22" s="54" t="e">
        <f t="shared" si="2"/>
        <v>#DIV/0!</v>
      </c>
      <c r="M22" s="54" t="e">
        <f t="shared" si="3"/>
        <v>#DIV/0!</v>
      </c>
      <c r="N22" s="54" t="e">
        <f t="shared" si="4"/>
        <v>#DIV/0!</v>
      </c>
      <c r="O22" s="196"/>
      <c r="P22" s="196"/>
      <c r="Q22" s="196"/>
      <c r="R22" s="196"/>
      <c r="S22" s="73" t="e">
        <f t="shared" si="5"/>
        <v>#DIV/0!</v>
      </c>
      <c r="T22" s="73" t="e">
        <f t="shared" si="6"/>
        <v>#DIV/0!</v>
      </c>
      <c r="U22" s="73" t="e">
        <f t="shared" si="7"/>
        <v>#DIV/0!</v>
      </c>
      <c r="V22" s="73" t="e">
        <f t="shared" si="8"/>
        <v>#DIV/0!</v>
      </c>
    </row>
    <row r="23" spans="2:22" ht="14.25" customHeight="1" x14ac:dyDescent="0.2">
      <c r="B23" s="96" t="s">
        <v>109</v>
      </c>
      <c r="C23" s="11" t="s">
        <v>107</v>
      </c>
      <c r="D23" s="11">
        <v>3</v>
      </c>
      <c r="E23" s="96" t="str">
        <f t="shared" si="0"/>
        <v>Zineb</v>
      </c>
      <c r="F23" s="56">
        <v>330</v>
      </c>
      <c r="G23" s="100">
        <v>3.9159540161490397E-2</v>
      </c>
      <c r="H23" s="100">
        <v>1.5663815627340199E-3</v>
      </c>
      <c r="I23" s="100">
        <v>5.1216574130042599E-5</v>
      </c>
      <c r="J23" s="100">
        <v>2.0486629209740901E-6</v>
      </c>
      <c r="K23" s="54" t="e">
        <f t="shared" si="1"/>
        <v>#DIV/0!</v>
      </c>
      <c r="L23" s="54" t="e">
        <f t="shared" si="2"/>
        <v>#DIV/0!</v>
      </c>
      <c r="M23" s="54" t="e">
        <f t="shared" si="3"/>
        <v>#DIV/0!</v>
      </c>
      <c r="N23" s="54" t="e">
        <f t="shared" si="4"/>
        <v>#DIV/0!</v>
      </c>
      <c r="O23" s="196"/>
      <c r="P23" s="196"/>
      <c r="Q23" s="196"/>
      <c r="R23" s="196"/>
      <c r="S23" s="73" t="e">
        <f t="shared" si="5"/>
        <v>#DIV/0!</v>
      </c>
      <c r="T23" s="73" t="e">
        <f t="shared" si="6"/>
        <v>#DIV/0!</v>
      </c>
      <c r="U23" s="73" t="e">
        <f t="shared" si="7"/>
        <v>#DIV/0!</v>
      </c>
      <c r="V23" s="73" t="e">
        <f t="shared" si="8"/>
        <v>#DIV/0!</v>
      </c>
    </row>
    <row r="24" spans="2:22" ht="14.25" customHeight="1" x14ac:dyDescent="0.2">
      <c r="B24" s="96" t="s">
        <v>110</v>
      </c>
      <c r="C24" s="11" t="s">
        <v>107</v>
      </c>
      <c r="D24" s="11">
        <v>4</v>
      </c>
      <c r="E24" s="96" t="str">
        <f t="shared" si="0"/>
        <v>Zineb</v>
      </c>
      <c r="F24" s="56">
        <v>577</v>
      </c>
      <c r="G24" s="100">
        <v>1.9668837320059501E-2</v>
      </c>
      <c r="H24" s="100">
        <v>7.8675347322132395E-4</v>
      </c>
      <c r="I24" s="100">
        <v>7.2239291915347303E-6</v>
      </c>
      <c r="J24" s="100">
        <v>2.8895716142285397E-7</v>
      </c>
      <c r="K24" s="54" t="e">
        <f t="shared" si="1"/>
        <v>#DIV/0!</v>
      </c>
      <c r="L24" s="54" t="e">
        <f t="shared" si="2"/>
        <v>#DIV/0!</v>
      </c>
      <c r="M24" s="54" t="e">
        <f t="shared" si="3"/>
        <v>#DIV/0!</v>
      </c>
      <c r="N24" s="54" t="e">
        <f t="shared" si="4"/>
        <v>#DIV/0!</v>
      </c>
      <c r="O24" s="196"/>
      <c r="P24" s="196"/>
      <c r="Q24" s="196"/>
      <c r="R24" s="196"/>
      <c r="S24" s="73" t="e">
        <f t="shared" si="5"/>
        <v>#DIV/0!</v>
      </c>
      <c r="T24" s="73" t="e">
        <f t="shared" si="6"/>
        <v>#DIV/0!</v>
      </c>
      <c r="U24" s="73" t="e">
        <f t="shared" si="7"/>
        <v>#DIV/0!</v>
      </c>
      <c r="V24" s="73" t="e">
        <f t="shared" si="8"/>
        <v>#DIV/0!</v>
      </c>
    </row>
    <row r="25" spans="2:22" ht="14.25" customHeight="1" x14ac:dyDescent="0.2">
      <c r="B25" s="96" t="s">
        <v>111</v>
      </c>
      <c r="C25" s="11" t="s">
        <v>107</v>
      </c>
      <c r="D25" s="11">
        <v>5</v>
      </c>
      <c r="E25" s="96" t="str">
        <f t="shared" si="0"/>
        <v>Zineb</v>
      </c>
      <c r="F25" s="56">
        <v>100</v>
      </c>
      <c r="G25" s="100">
        <v>9.2975459843873995E-2</v>
      </c>
      <c r="H25" s="100">
        <v>1.5077102009672699E-3</v>
      </c>
      <c r="I25" s="100">
        <v>1.78095163249337E-5</v>
      </c>
      <c r="J25" s="100">
        <v>2.8880297438935E-7</v>
      </c>
      <c r="K25" s="54" t="e">
        <f t="shared" si="1"/>
        <v>#DIV/0!</v>
      </c>
      <c r="L25" s="54" t="e">
        <f t="shared" si="2"/>
        <v>#DIV/0!</v>
      </c>
      <c r="M25" s="54" t="e">
        <f t="shared" si="3"/>
        <v>#DIV/0!</v>
      </c>
      <c r="N25" s="54" t="e">
        <f t="shared" si="4"/>
        <v>#DIV/0!</v>
      </c>
      <c r="O25" s="196"/>
      <c r="P25" s="196"/>
      <c r="Q25" s="196"/>
      <c r="R25" s="196"/>
      <c r="S25" s="73" t="e">
        <f t="shared" si="5"/>
        <v>#DIV/0!</v>
      </c>
      <c r="T25" s="73" t="e">
        <f t="shared" si="6"/>
        <v>#DIV/0!</v>
      </c>
      <c r="U25" s="73" t="e">
        <f t="shared" si="7"/>
        <v>#DIV/0!</v>
      </c>
      <c r="V25" s="73" t="e">
        <f t="shared" si="8"/>
        <v>#DIV/0!</v>
      </c>
    </row>
    <row r="26" spans="2:22" ht="14.25" customHeight="1" x14ac:dyDescent="0.2">
      <c r="B26" s="96" t="s">
        <v>112</v>
      </c>
      <c r="C26" s="11" t="s">
        <v>107</v>
      </c>
      <c r="D26" s="11">
        <v>6</v>
      </c>
      <c r="E26" s="96" t="str">
        <f t="shared" si="0"/>
        <v>Zineb</v>
      </c>
      <c r="F26" s="56">
        <v>260</v>
      </c>
      <c r="G26" s="100">
        <v>2.2771187685429999E-2</v>
      </c>
      <c r="H26" s="100">
        <v>3.6926251050317698E-4</v>
      </c>
      <c r="I26" s="100">
        <v>1.1717612957945801E-6</v>
      </c>
      <c r="J26" s="100">
        <v>1.90015349360378E-8</v>
      </c>
      <c r="K26" s="54" t="e">
        <f t="shared" si="1"/>
        <v>#DIV/0!</v>
      </c>
      <c r="L26" s="54" t="e">
        <f t="shared" si="2"/>
        <v>#DIV/0!</v>
      </c>
      <c r="M26" s="54" t="e">
        <f t="shared" si="3"/>
        <v>#DIV/0!</v>
      </c>
      <c r="N26" s="54" t="e">
        <f t="shared" si="4"/>
        <v>#DIV/0!</v>
      </c>
      <c r="O26" s="196"/>
      <c r="P26" s="196"/>
      <c r="Q26" s="196"/>
      <c r="R26" s="196"/>
      <c r="S26" s="73" t="e">
        <f t="shared" si="5"/>
        <v>#DIV/0!</v>
      </c>
      <c r="T26" s="73" t="e">
        <f t="shared" si="6"/>
        <v>#DIV/0!</v>
      </c>
      <c r="U26" s="73" t="e">
        <f t="shared" si="7"/>
        <v>#DIV/0!</v>
      </c>
      <c r="V26" s="73" t="e">
        <f t="shared" si="8"/>
        <v>#DIV/0!</v>
      </c>
    </row>
    <row r="27" spans="2:22" ht="14.25" customHeight="1" x14ac:dyDescent="0.2">
      <c r="B27" s="96" t="s">
        <v>113</v>
      </c>
      <c r="C27" s="11" t="s">
        <v>107</v>
      </c>
      <c r="D27" s="11">
        <v>7</v>
      </c>
      <c r="E27" s="96" t="str">
        <f t="shared" si="0"/>
        <v>Zineb</v>
      </c>
      <c r="F27" s="56">
        <v>168</v>
      </c>
      <c r="G27" s="100">
        <v>4.2117157839238598E-2</v>
      </c>
      <c r="H27" s="100">
        <v>6.8298095429781798E-4</v>
      </c>
      <c r="I27" s="100">
        <v>1.3552566799433001E-5</v>
      </c>
      <c r="J27" s="100">
        <v>2.19771358598297E-7</v>
      </c>
      <c r="K27" s="54" t="e">
        <f t="shared" si="1"/>
        <v>#DIV/0!</v>
      </c>
      <c r="L27" s="54" t="e">
        <f t="shared" si="2"/>
        <v>#DIV/0!</v>
      </c>
      <c r="M27" s="54" t="e">
        <f t="shared" si="3"/>
        <v>#DIV/0!</v>
      </c>
      <c r="N27" s="54" t="e">
        <f t="shared" si="4"/>
        <v>#DIV/0!</v>
      </c>
      <c r="O27" s="196"/>
      <c r="P27" s="196"/>
      <c r="Q27" s="196"/>
      <c r="R27" s="196"/>
      <c r="S27" s="73" t="e">
        <f t="shared" si="5"/>
        <v>#DIV/0!</v>
      </c>
      <c r="T27" s="73" t="e">
        <f t="shared" si="6"/>
        <v>#DIV/0!</v>
      </c>
      <c r="U27" s="73" t="e">
        <f t="shared" si="7"/>
        <v>#DIV/0!</v>
      </c>
      <c r="V27" s="73" t="e">
        <f t="shared" si="8"/>
        <v>#DIV/0!</v>
      </c>
    </row>
    <row r="28" spans="2:22" ht="14.25" customHeight="1" x14ac:dyDescent="0.2">
      <c r="B28" s="96" t="s">
        <v>114</v>
      </c>
      <c r="C28" s="11" t="s">
        <v>115</v>
      </c>
      <c r="D28" s="11">
        <v>2</v>
      </c>
      <c r="E28" s="96" t="str">
        <f t="shared" si="0"/>
        <v>Zineb</v>
      </c>
      <c r="F28" s="56">
        <v>235</v>
      </c>
      <c r="G28" s="100">
        <v>8.5148882679641196E-3</v>
      </c>
      <c r="H28" s="100">
        <v>4.0141618624329597E-3</v>
      </c>
      <c r="I28" s="100">
        <v>6.5610236600899293E-8</v>
      </c>
      <c r="J28" s="100">
        <v>3.09305422479163E-8</v>
      </c>
      <c r="K28" s="54" t="e">
        <f t="shared" si="1"/>
        <v>#DIV/0!</v>
      </c>
      <c r="L28" s="54" t="e">
        <f t="shared" si="2"/>
        <v>#DIV/0!</v>
      </c>
      <c r="M28" s="54" t="e">
        <f t="shared" si="3"/>
        <v>#DIV/0!</v>
      </c>
      <c r="N28" s="54" t="e">
        <f t="shared" si="4"/>
        <v>#DIV/0!</v>
      </c>
      <c r="O28" s="196"/>
      <c r="P28" s="196"/>
      <c r="Q28" s="196"/>
      <c r="R28" s="196"/>
      <c r="S28" s="73" t="e">
        <f t="shared" si="5"/>
        <v>#DIV/0!</v>
      </c>
      <c r="T28" s="73" t="e">
        <f t="shared" si="6"/>
        <v>#DIV/0!</v>
      </c>
      <c r="U28" s="73" t="e">
        <f t="shared" si="7"/>
        <v>#DIV/0!</v>
      </c>
      <c r="V28" s="73" t="e">
        <f t="shared" si="8"/>
        <v>#DIV/0!</v>
      </c>
    </row>
    <row r="29" spans="2:22" ht="14.25" customHeight="1" x14ac:dyDescent="0.2">
      <c r="B29" s="96" t="s">
        <v>116</v>
      </c>
      <c r="C29" s="11" t="s">
        <v>115</v>
      </c>
      <c r="D29" s="11">
        <v>3</v>
      </c>
      <c r="E29" s="96" t="str">
        <f t="shared" si="0"/>
        <v>Zineb</v>
      </c>
      <c r="F29" s="56">
        <v>175</v>
      </c>
      <c r="G29" s="100">
        <v>2.02967114746571E-2</v>
      </c>
      <c r="H29" s="100">
        <v>9.56845025531948E-3</v>
      </c>
      <c r="I29" s="100">
        <v>4.9746895894949498E-7</v>
      </c>
      <c r="J29" s="100">
        <v>2.3452109693492899E-7</v>
      </c>
      <c r="K29" s="54" t="e">
        <f t="shared" si="1"/>
        <v>#DIV/0!</v>
      </c>
      <c r="L29" s="54" t="e">
        <f t="shared" si="2"/>
        <v>#DIV/0!</v>
      </c>
      <c r="M29" s="54" t="e">
        <f t="shared" si="3"/>
        <v>#DIV/0!</v>
      </c>
      <c r="N29" s="54" t="e">
        <f t="shared" si="4"/>
        <v>#DIV/0!</v>
      </c>
      <c r="O29" s="196"/>
      <c r="P29" s="196"/>
      <c r="Q29" s="196"/>
      <c r="R29" s="196"/>
      <c r="S29" s="73" t="e">
        <f t="shared" si="5"/>
        <v>#DIV/0!</v>
      </c>
      <c r="T29" s="73" t="e">
        <f t="shared" si="6"/>
        <v>#DIV/0!</v>
      </c>
      <c r="U29" s="73" t="e">
        <f t="shared" si="7"/>
        <v>#DIV/0!</v>
      </c>
      <c r="V29" s="73" t="e">
        <f t="shared" si="8"/>
        <v>#DIV/0!</v>
      </c>
    </row>
    <row r="30" spans="2:22" ht="14.25" customHeight="1" x14ac:dyDescent="0.2">
      <c r="B30" s="96" t="s">
        <v>117</v>
      </c>
      <c r="C30" s="11" t="s">
        <v>115</v>
      </c>
      <c r="D30" s="11">
        <v>5</v>
      </c>
      <c r="E30" s="96" t="str">
        <f t="shared" si="0"/>
        <v>Zineb</v>
      </c>
      <c r="F30" s="56">
        <v>68</v>
      </c>
      <c r="G30" s="100">
        <v>3.21355061978102E-2</v>
      </c>
      <c r="H30" s="100">
        <v>1.5149596910923701E-2</v>
      </c>
      <c r="I30" s="100">
        <v>7.9428991525946399E-7</v>
      </c>
      <c r="J30" s="100">
        <v>3.7445098636605201E-7</v>
      </c>
      <c r="K30" s="54" t="e">
        <f t="shared" si="1"/>
        <v>#DIV/0!</v>
      </c>
      <c r="L30" s="54" t="e">
        <f t="shared" si="2"/>
        <v>#DIV/0!</v>
      </c>
      <c r="M30" s="54" t="e">
        <f t="shared" si="3"/>
        <v>#DIV/0!</v>
      </c>
      <c r="N30" s="54" t="e">
        <f t="shared" si="4"/>
        <v>#DIV/0!</v>
      </c>
      <c r="O30" s="196"/>
      <c r="P30" s="196"/>
      <c r="Q30" s="196"/>
      <c r="R30" s="196"/>
      <c r="S30" s="73" t="e">
        <f t="shared" si="5"/>
        <v>#DIV/0!</v>
      </c>
      <c r="T30" s="73" t="e">
        <f t="shared" si="6"/>
        <v>#DIV/0!</v>
      </c>
      <c r="U30" s="73" t="e">
        <f t="shared" si="7"/>
        <v>#DIV/0!</v>
      </c>
      <c r="V30" s="73" t="e">
        <f t="shared" si="8"/>
        <v>#DIV/0!</v>
      </c>
    </row>
    <row r="31" spans="2:22" ht="14.25" customHeight="1" x14ac:dyDescent="0.2">
      <c r="B31" s="96" t="s">
        <v>118</v>
      </c>
      <c r="C31" s="11" t="s">
        <v>115</v>
      </c>
      <c r="D31" s="11">
        <v>6</v>
      </c>
      <c r="E31" s="96" t="str">
        <f t="shared" si="0"/>
        <v>Zineb</v>
      </c>
      <c r="F31" s="56">
        <v>137</v>
      </c>
      <c r="G31" s="100">
        <v>2.3190797939896601E-2</v>
      </c>
      <c r="H31" s="100">
        <v>1.0932805500924601E-2</v>
      </c>
      <c r="I31" s="100">
        <v>1.12904754313507E-5</v>
      </c>
      <c r="J31" s="100">
        <v>5.3226530654285997E-6</v>
      </c>
      <c r="K31" s="54" t="e">
        <f t="shared" si="1"/>
        <v>#DIV/0!</v>
      </c>
      <c r="L31" s="54" t="e">
        <f t="shared" si="2"/>
        <v>#DIV/0!</v>
      </c>
      <c r="M31" s="54" t="e">
        <f t="shared" si="3"/>
        <v>#DIV/0!</v>
      </c>
      <c r="N31" s="54" t="e">
        <f t="shared" si="4"/>
        <v>#DIV/0!</v>
      </c>
      <c r="O31" s="196"/>
      <c r="P31" s="196"/>
      <c r="Q31" s="196"/>
      <c r="R31" s="196"/>
      <c r="S31" s="73" t="e">
        <f t="shared" si="5"/>
        <v>#DIV/0!</v>
      </c>
      <c r="T31" s="73" t="e">
        <f t="shared" si="6"/>
        <v>#DIV/0!</v>
      </c>
      <c r="U31" s="73" t="e">
        <f t="shared" si="7"/>
        <v>#DIV/0!</v>
      </c>
      <c r="V31" s="73" t="e">
        <f t="shared" si="8"/>
        <v>#DIV/0!</v>
      </c>
    </row>
    <row r="32" spans="2:22" ht="14.25" customHeight="1" x14ac:dyDescent="0.2">
      <c r="B32" s="96" t="s">
        <v>119</v>
      </c>
      <c r="C32" s="11" t="s">
        <v>115</v>
      </c>
      <c r="D32" s="11">
        <v>11</v>
      </c>
      <c r="E32" s="96" t="str">
        <f t="shared" si="0"/>
        <v>Zineb</v>
      </c>
      <c r="F32" s="56">
        <v>50</v>
      </c>
      <c r="G32" s="100">
        <v>0.23386158645152999</v>
      </c>
      <c r="H32" s="100">
        <v>0.11024904191494</v>
      </c>
      <c r="I32" s="100">
        <v>3.2440187924246801E-6</v>
      </c>
      <c r="J32" s="100">
        <v>1.5293232415144099E-6</v>
      </c>
      <c r="K32" s="54" t="e">
        <f t="shared" si="1"/>
        <v>#DIV/0!</v>
      </c>
      <c r="L32" s="54" t="e">
        <f t="shared" si="2"/>
        <v>#DIV/0!</v>
      </c>
      <c r="M32" s="54" t="e">
        <f t="shared" si="3"/>
        <v>#DIV/0!</v>
      </c>
      <c r="N32" s="54" t="e">
        <f t="shared" si="4"/>
        <v>#DIV/0!</v>
      </c>
      <c r="O32" s="196"/>
      <c r="P32" s="196"/>
      <c r="Q32" s="196"/>
      <c r="R32" s="196"/>
      <c r="S32" s="73" t="e">
        <f t="shared" si="5"/>
        <v>#DIV/0!</v>
      </c>
      <c r="T32" s="73" t="e">
        <f t="shared" si="6"/>
        <v>#DIV/0!</v>
      </c>
      <c r="U32" s="73" t="e">
        <f t="shared" si="7"/>
        <v>#DIV/0!</v>
      </c>
      <c r="V32" s="73" t="e">
        <f t="shared" si="8"/>
        <v>#DIV/0!</v>
      </c>
    </row>
    <row r="33" spans="2:22" ht="14.25" customHeight="1" x14ac:dyDescent="0.2">
      <c r="B33" s="96" t="s">
        <v>120</v>
      </c>
      <c r="C33" s="11" t="s">
        <v>115</v>
      </c>
      <c r="D33" s="11">
        <v>12</v>
      </c>
      <c r="E33" s="96" t="str">
        <f t="shared" si="0"/>
        <v>Zineb</v>
      </c>
      <c r="F33" s="56">
        <v>1000</v>
      </c>
      <c r="G33" s="100">
        <v>5.9999114926904398E-3</v>
      </c>
      <c r="H33" s="100">
        <v>2.8285299008712198E-3</v>
      </c>
      <c r="I33" s="100">
        <v>7.3754168280667094E-8</v>
      </c>
      <c r="J33" s="100">
        <v>3.4769824559128602E-8</v>
      </c>
      <c r="K33" s="54" t="e">
        <f t="shared" si="1"/>
        <v>#DIV/0!</v>
      </c>
      <c r="L33" s="54" t="e">
        <f t="shared" si="2"/>
        <v>#DIV/0!</v>
      </c>
      <c r="M33" s="54" t="e">
        <f t="shared" si="3"/>
        <v>#DIV/0!</v>
      </c>
      <c r="N33" s="54" t="e">
        <f t="shared" si="4"/>
        <v>#DIV/0!</v>
      </c>
      <c r="O33" s="196"/>
      <c r="P33" s="196"/>
      <c r="Q33" s="196"/>
      <c r="R33" s="196"/>
      <c r="S33" s="73" t="e">
        <f t="shared" si="5"/>
        <v>#DIV/0!</v>
      </c>
      <c r="T33" s="73" t="e">
        <f t="shared" si="6"/>
        <v>#DIV/0!</v>
      </c>
      <c r="U33" s="73" t="e">
        <f t="shared" si="7"/>
        <v>#DIV/0!</v>
      </c>
      <c r="V33" s="73" t="e">
        <f t="shared" si="8"/>
        <v>#DIV/0!</v>
      </c>
    </row>
    <row r="34" spans="2:22" ht="14.25" customHeight="1" x14ac:dyDescent="0.2">
      <c r="B34" s="96" t="s">
        <v>121</v>
      </c>
      <c r="C34" s="11" t="s">
        <v>12</v>
      </c>
      <c r="D34" s="11" t="s">
        <v>122</v>
      </c>
      <c r="E34" s="96" t="str">
        <f t="shared" si="0"/>
        <v>Zineb</v>
      </c>
      <c r="F34" s="56">
        <v>150</v>
      </c>
      <c r="G34" s="100">
        <v>1.6545222084969301E-2</v>
      </c>
      <c r="H34" s="100">
        <v>2.3636032920330802E-3</v>
      </c>
      <c r="I34" s="100">
        <v>9.9965986284663203E-6</v>
      </c>
      <c r="J34" s="100">
        <v>1.4280855773781299E-6</v>
      </c>
      <c r="K34" s="54" t="e">
        <f t="shared" si="1"/>
        <v>#DIV/0!</v>
      </c>
      <c r="L34" s="54" t="e">
        <f t="shared" si="2"/>
        <v>#DIV/0!</v>
      </c>
      <c r="M34" s="54" t="e">
        <f t="shared" si="3"/>
        <v>#DIV/0!</v>
      </c>
      <c r="N34" s="54" t="e">
        <f t="shared" si="4"/>
        <v>#DIV/0!</v>
      </c>
      <c r="O34" s="196"/>
      <c r="P34" s="196"/>
      <c r="Q34" s="196"/>
      <c r="R34" s="196"/>
      <c r="S34" s="73" t="e">
        <f t="shared" si="5"/>
        <v>#DIV/0!</v>
      </c>
      <c r="T34" s="73" t="e">
        <f t="shared" si="6"/>
        <v>#DIV/0!</v>
      </c>
      <c r="U34" s="73" t="e">
        <f t="shared" si="7"/>
        <v>#DIV/0!</v>
      </c>
      <c r="V34" s="73" t="e">
        <f t="shared" si="8"/>
        <v>#DIV/0!</v>
      </c>
    </row>
    <row r="35" spans="2:22" ht="14.25" customHeight="1" x14ac:dyDescent="0.2">
      <c r="B35" s="96" t="s">
        <v>123</v>
      </c>
      <c r="C35" s="11" t="s">
        <v>12</v>
      </c>
      <c r="D35" s="11" t="s">
        <v>124</v>
      </c>
      <c r="E35" s="96" t="str">
        <f t="shared" si="0"/>
        <v>Zineb</v>
      </c>
      <c r="F35" s="56">
        <v>147</v>
      </c>
      <c r="G35" s="100">
        <v>1.98067331314087E-2</v>
      </c>
      <c r="H35" s="100">
        <v>7.7504607196897304E-3</v>
      </c>
      <c r="I35" s="100">
        <v>3.1603495517455297E-5</v>
      </c>
      <c r="J35" s="100">
        <v>1.23665850700892E-5</v>
      </c>
      <c r="K35" s="54" t="e">
        <f t="shared" si="1"/>
        <v>#DIV/0!</v>
      </c>
      <c r="L35" s="54" t="e">
        <f t="shared" si="2"/>
        <v>#DIV/0!</v>
      </c>
      <c r="M35" s="54" t="e">
        <f t="shared" si="3"/>
        <v>#DIV/0!</v>
      </c>
      <c r="N35" s="54" t="e">
        <f t="shared" si="4"/>
        <v>#DIV/0!</v>
      </c>
      <c r="O35" s="196"/>
      <c r="P35" s="196"/>
      <c r="Q35" s="196"/>
      <c r="R35" s="196"/>
      <c r="S35" s="73" t="e">
        <f t="shared" si="5"/>
        <v>#DIV/0!</v>
      </c>
      <c r="T35" s="73" t="e">
        <f t="shared" si="6"/>
        <v>#DIV/0!</v>
      </c>
      <c r="U35" s="73" t="e">
        <f t="shared" si="7"/>
        <v>#DIV/0!</v>
      </c>
      <c r="V35" s="73" t="e">
        <f t="shared" si="8"/>
        <v>#DIV/0!</v>
      </c>
    </row>
    <row r="36" spans="2:22" ht="14.25" customHeight="1" x14ac:dyDescent="0.2">
      <c r="B36" s="96" t="s">
        <v>125</v>
      </c>
      <c r="C36" s="11" t="s">
        <v>12</v>
      </c>
      <c r="D36" s="11" t="s">
        <v>126</v>
      </c>
      <c r="E36" s="96" t="str">
        <f t="shared" si="0"/>
        <v>Zineb</v>
      </c>
      <c r="F36" s="56">
        <v>379</v>
      </c>
      <c r="G36" s="100">
        <v>5.3442510869354002E-3</v>
      </c>
      <c r="H36" s="100">
        <v>1.35297499073204E-4</v>
      </c>
      <c r="I36" s="100">
        <v>7.2697534257602296E-7</v>
      </c>
      <c r="J36" s="100">
        <v>1.8404439439849299E-8</v>
      </c>
      <c r="K36" s="54" t="e">
        <f t="shared" si="1"/>
        <v>#DIV/0!</v>
      </c>
      <c r="L36" s="54" t="e">
        <f t="shared" si="2"/>
        <v>#DIV/0!</v>
      </c>
      <c r="M36" s="54" t="e">
        <f t="shared" si="3"/>
        <v>#DIV/0!</v>
      </c>
      <c r="N36" s="54" t="e">
        <f t="shared" si="4"/>
        <v>#DIV/0!</v>
      </c>
      <c r="O36" s="196"/>
      <c r="P36" s="196"/>
      <c r="Q36" s="196"/>
      <c r="R36" s="196"/>
      <c r="S36" s="73" t="e">
        <f t="shared" si="5"/>
        <v>#DIV/0!</v>
      </c>
      <c r="T36" s="73" t="e">
        <f t="shared" si="6"/>
        <v>#DIV/0!</v>
      </c>
      <c r="U36" s="73" t="e">
        <f t="shared" si="7"/>
        <v>#DIV/0!</v>
      </c>
      <c r="V36" s="73" t="e">
        <f t="shared" si="8"/>
        <v>#DIV/0!</v>
      </c>
    </row>
    <row r="37" spans="2:22" ht="14.25" customHeight="1" x14ac:dyDescent="0.2">
      <c r="B37" s="96" t="s">
        <v>127</v>
      </c>
      <c r="C37" s="11" t="s">
        <v>12</v>
      </c>
      <c r="D37" s="11" t="s">
        <v>128</v>
      </c>
      <c r="E37" s="96" t="str">
        <f t="shared" si="0"/>
        <v>Zineb</v>
      </c>
      <c r="F37" s="56">
        <v>1550</v>
      </c>
      <c r="G37" s="100">
        <v>3.9842925529228498E-4</v>
      </c>
      <c r="H37" s="100">
        <v>3.9842925529228498E-4</v>
      </c>
      <c r="I37" s="100">
        <v>4.1651198292158297E-8</v>
      </c>
      <c r="J37" s="100">
        <v>4.1651198292158297E-8</v>
      </c>
      <c r="K37" s="54" t="e">
        <f t="shared" si="1"/>
        <v>#DIV/0!</v>
      </c>
      <c r="L37" s="54" t="e">
        <f t="shared" si="2"/>
        <v>#DIV/0!</v>
      </c>
      <c r="M37" s="54" t="e">
        <f t="shared" si="3"/>
        <v>#DIV/0!</v>
      </c>
      <c r="N37" s="54" t="e">
        <f t="shared" si="4"/>
        <v>#DIV/0!</v>
      </c>
      <c r="O37" s="196"/>
      <c r="P37" s="196"/>
      <c r="Q37" s="196"/>
      <c r="R37" s="196"/>
      <c r="S37" s="73" t="e">
        <f t="shared" si="5"/>
        <v>#DIV/0!</v>
      </c>
      <c r="T37" s="73" t="e">
        <f t="shared" si="6"/>
        <v>#DIV/0!</v>
      </c>
      <c r="U37" s="73" t="e">
        <f t="shared" si="7"/>
        <v>#DIV/0!</v>
      </c>
      <c r="V37" s="73" t="e">
        <f t="shared" si="8"/>
        <v>#DIV/0!</v>
      </c>
    </row>
    <row r="38" spans="2:22" ht="14.25" customHeight="1" x14ac:dyDescent="0.2">
      <c r="B38" s="96" t="s">
        <v>129</v>
      </c>
      <c r="C38" s="11" t="s">
        <v>12</v>
      </c>
      <c r="D38" s="11" t="s">
        <v>130</v>
      </c>
      <c r="E38" s="96" t="str">
        <f t="shared" si="0"/>
        <v>Zineb</v>
      </c>
      <c r="F38" s="56">
        <v>376</v>
      </c>
      <c r="G38" s="100">
        <v>2.04625813057646E-4</v>
      </c>
      <c r="H38" s="100">
        <v>3.7088428507559001E-4</v>
      </c>
      <c r="I38" s="100">
        <v>1.042391552174E-7</v>
      </c>
      <c r="J38" s="100">
        <v>1.8893346690959799E-7</v>
      </c>
      <c r="K38" s="54" t="e">
        <f t="shared" si="1"/>
        <v>#DIV/0!</v>
      </c>
      <c r="L38" s="54" t="e">
        <f t="shared" si="2"/>
        <v>#DIV/0!</v>
      </c>
      <c r="M38" s="54" t="e">
        <f t="shared" si="3"/>
        <v>#DIV/0!</v>
      </c>
      <c r="N38" s="54" t="e">
        <f t="shared" si="4"/>
        <v>#DIV/0!</v>
      </c>
      <c r="O38" s="196"/>
      <c r="P38" s="196"/>
      <c r="Q38" s="196"/>
      <c r="R38" s="196"/>
      <c r="S38" s="73" t="e">
        <f t="shared" si="5"/>
        <v>#DIV/0!</v>
      </c>
      <c r="T38" s="73" t="e">
        <f t="shared" si="6"/>
        <v>#DIV/0!</v>
      </c>
      <c r="U38" s="73" t="e">
        <f t="shared" si="7"/>
        <v>#DIV/0!</v>
      </c>
      <c r="V38" s="73" t="e">
        <f t="shared" si="8"/>
        <v>#DIV/0!</v>
      </c>
    </row>
    <row r="39" spans="2:22" ht="14.25" customHeight="1" x14ac:dyDescent="0.2">
      <c r="B39" s="96" t="s">
        <v>131</v>
      </c>
      <c r="C39" s="11" t="s">
        <v>12</v>
      </c>
      <c r="D39" s="11" t="s">
        <v>132</v>
      </c>
      <c r="E39" s="96" t="str">
        <f t="shared" si="0"/>
        <v>Zineb</v>
      </c>
      <c r="F39" s="56">
        <v>627</v>
      </c>
      <c r="G39" s="100">
        <v>8.8482119841501103E-4</v>
      </c>
      <c r="H39" s="100">
        <v>2.2634961133007899E-4</v>
      </c>
      <c r="I39" s="100">
        <v>4.8251822023995696E-6</v>
      </c>
      <c r="J39" s="100">
        <v>1.23434894711696E-6</v>
      </c>
      <c r="K39" s="54" t="e">
        <f t="shared" si="1"/>
        <v>#DIV/0!</v>
      </c>
      <c r="L39" s="54" t="e">
        <f t="shared" si="2"/>
        <v>#DIV/0!</v>
      </c>
      <c r="M39" s="54" t="e">
        <f t="shared" si="3"/>
        <v>#DIV/0!</v>
      </c>
      <c r="N39" s="54" t="e">
        <f t="shared" si="4"/>
        <v>#DIV/0!</v>
      </c>
      <c r="O39" s="196"/>
      <c r="P39" s="196"/>
      <c r="Q39" s="196"/>
      <c r="R39" s="196"/>
      <c r="S39" s="73" t="e">
        <f t="shared" si="5"/>
        <v>#DIV/0!</v>
      </c>
      <c r="T39" s="73" t="e">
        <f t="shared" si="6"/>
        <v>#DIV/0!</v>
      </c>
      <c r="U39" s="73" t="e">
        <f t="shared" si="7"/>
        <v>#DIV/0!</v>
      </c>
      <c r="V39" s="73" t="e">
        <f t="shared" si="8"/>
        <v>#DIV/0!</v>
      </c>
    </row>
    <row r="40" spans="2:22" ht="14.25" customHeight="1" x14ac:dyDescent="0.2">
      <c r="B40" s="96" t="s">
        <v>133</v>
      </c>
      <c r="C40" s="11" t="s">
        <v>12</v>
      </c>
      <c r="D40" s="11" t="s">
        <v>134</v>
      </c>
      <c r="E40" s="96" t="str">
        <f t="shared" si="0"/>
        <v>Zineb</v>
      </c>
      <c r="F40" s="56">
        <v>80</v>
      </c>
      <c r="G40" s="100">
        <v>5.4417588450014598E-2</v>
      </c>
      <c r="H40" s="100">
        <v>1.04649212851655E-3</v>
      </c>
      <c r="I40" s="100">
        <v>2.3401314081941899E-4</v>
      </c>
      <c r="J40" s="100">
        <v>4.5002528301788901E-6</v>
      </c>
      <c r="K40" s="54" t="e">
        <f t="shared" si="1"/>
        <v>#DIV/0!</v>
      </c>
      <c r="L40" s="54" t="e">
        <f t="shared" si="2"/>
        <v>#DIV/0!</v>
      </c>
      <c r="M40" s="54" t="e">
        <f t="shared" si="3"/>
        <v>#DIV/0!</v>
      </c>
      <c r="N40" s="54" t="e">
        <f t="shared" si="4"/>
        <v>#DIV/0!</v>
      </c>
      <c r="O40" s="196"/>
      <c r="P40" s="196"/>
      <c r="Q40" s="196"/>
      <c r="R40" s="196"/>
      <c r="S40" s="73" t="e">
        <f t="shared" si="5"/>
        <v>#DIV/0!</v>
      </c>
      <c r="T40" s="73" t="e">
        <f t="shared" si="6"/>
        <v>#DIV/0!</v>
      </c>
      <c r="U40" s="73" t="e">
        <f t="shared" si="7"/>
        <v>#DIV/0!</v>
      </c>
      <c r="V40" s="73" t="e">
        <f t="shared" si="8"/>
        <v>#DIV/0!</v>
      </c>
    </row>
    <row r="41" spans="2:22" ht="14.25" customHeight="1" x14ac:dyDescent="0.2">
      <c r="B41" s="96" t="s">
        <v>135</v>
      </c>
      <c r="C41" s="11" t="s">
        <v>12</v>
      </c>
      <c r="D41" s="11" t="s">
        <v>136</v>
      </c>
      <c r="E41" s="96" t="str">
        <f t="shared" si="0"/>
        <v>Zineb</v>
      </c>
      <c r="F41" s="56">
        <v>116</v>
      </c>
      <c r="G41" s="100">
        <v>4.6226752642542102E-3</v>
      </c>
      <c r="H41" s="100">
        <v>8.5605098502128401E-5</v>
      </c>
      <c r="I41" s="100">
        <v>1.6572865685589401E-6</v>
      </c>
      <c r="J41" s="100">
        <v>3.0690492307189598E-8</v>
      </c>
      <c r="K41" s="54" t="e">
        <f t="shared" si="1"/>
        <v>#DIV/0!</v>
      </c>
      <c r="L41" s="54" t="e">
        <f t="shared" si="2"/>
        <v>#DIV/0!</v>
      </c>
      <c r="M41" s="54" t="e">
        <f t="shared" si="3"/>
        <v>#DIV/0!</v>
      </c>
      <c r="N41" s="54" t="e">
        <f t="shared" si="4"/>
        <v>#DIV/0!</v>
      </c>
      <c r="O41" s="196"/>
      <c r="P41" s="196"/>
      <c r="Q41" s="196"/>
      <c r="R41" s="196"/>
      <c r="S41" s="73" t="e">
        <f t="shared" si="5"/>
        <v>#DIV/0!</v>
      </c>
      <c r="T41" s="73" t="e">
        <f t="shared" si="6"/>
        <v>#DIV/0!</v>
      </c>
      <c r="U41" s="73" t="e">
        <f t="shared" si="7"/>
        <v>#DIV/0!</v>
      </c>
      <c r="V41" s="73" t="e">
        <f t="shared" si="8"/>
        <v>#DIV/0!</v>
      </c>
    </row>
    <row r="42" spans="2:22" ht="14.25" customHeight="1" x14ac:dyDescent="0.2">
      <c r="B42" s="96" t="s">
        <v>137</v>
      </c>
      <c r="C42" s="11" t="s">
        <v>12</v>
      </c>
      <c r="D42" s="11" t="s">
        <v>138</v>
      </c>
      <c r="E42" s="96" t="str">
        <f t="shared" si="0"/>
        <v>Zineb</v>
      </c>
      <c r="F42" s="56">
        <v>80</v>
      </c>
      <c r="G42" s="100">
        <v>6.6665666736662396E-2</v>
      </c>
      <c r="H42" s="100">
        <v>0.93331933736801098</v>
      </c>
      <c r="I42" s="100">
        <v>6.1162265654957106E-5</v>
      </c>
      <c r="J42" s="100">
        <v>8.5627172253831903E-4</v>
      </c>
      <c r="K42" s="54" t="e">
        <f t="shared" si="1"/>
        <v>#DIV/0!</v>
      </c>
      <c r="L42" s="54" t="e">
        <f t="shared" si="2"/>
        <v>#DIV/0!</v>
      </c>
      <c r="M42" s="54" t="e">
        <f t="shared" si="3"/>
        <v>#DIV/0!</v>
      </c>
      <c r="N42" s="54" t="e">
        <f t="shared" si="4"/>
        <v>#DIV/0!</v>
      </c>
      <c r="O42" s="196"/>
      <c r="P42" s="196"/>
      <c r="Q42" s="196"/>
      <c r="R42" s="196"/>
      <c r="S42" s="73" t="e">
        <f t="shared" si="5"/>
        <v>#DIV/0!</v>
      </c>
      <c r="T42" s="73" t="e">
        <f t="shared" si="6"/>
        <v>#DIV/0!</v>
      </c>
      <c r="U42" s="73" t="e">
        <f t="shared" si="7"/>
        <v>#DIV/0!</v>
      </c>
      <c r="V42" s="73" t="e">
        <f t="shared" si="8"/>
        <v>#DIV/0!</v>
      </c>
    </row>
    <row r="43" spans="2:22" ht="14.25" customHeight="1" x14ac:dyDescent="0.2">
      <c r="B43" s="96" t="s">
        <v>139</v>
      </c>
      <c r="C43" s="11" t="s">
        <v>12</v>
      </c>
      <c r="D43" s="11" t="s">
        <v>140</v>
      </c>
      <c r="E43" s="96" t="str">
        <f t="shared" si="0"/>
        <v>Zineb</v>
      </c>
      <c r="F43" s="56">
        <v>12</v>
      </c>
      <c r="G43" s="100">
        <v>0.23362240903079501</v>
      </c>
      <c r="H43" s="100">
        <v>1.7698667931836101E-3</v>
      </c>
      <c r="I43" s="100">
        <v>9.7346298147082705E-4</v>
      </c>
      <c r="J43" s="100">
        <v>7.3747197415011998E-6</v>
      </c>
      <c r="K43" s="54" t="e">
        <f t="shared" si="1"/>
        <v>#DIV/0!</v>
      </c>
      <c r="L43" s="54" t="e">
        <f t="shared" si="2"/>
        <v>#DIV/0!</v>
      </c>
      <c r="M43" s="54" t="e">
        <f t="shared" si="3"/>
        <v>#DIV/0!</v>
      </c>
      <c r="N43" s="54" t="e">
        <f t="shared" si="4"/>
        <v>#DIV/0!</v>
      </c>
      <c r="O43" s="196"/>
      <c r="P43" s="196"/>
      <c r="Q43" s="196"/>
      <c r="R43" s="196"/>
      <c r="S43" s="73" t="e">
        <f t="shared" si="5"/>
        <v>#DIV/0!</v>
      </c>
      <c r="T43" s="73" t="e">
        <f t="shared" si="6"/>
        <v>#DIV/0!</v>
      </c>
      <c r="U43" s="73" t="e">
        <f t="shared" si="7"/>
        <v>#DIV/0!</v>
      </c>
      <c r="V43" s="73" t="e">
        <f t="shared" si="8"/>
        <v>#DIV/0!</v>
      </c>
    </row>
    <row r="44" spans="2:22" ht="14.25" customHeight="1" x14ac:dyDescent="0.2">
      <c r="B44" s="96" t="s">
        <v>141</v>
      </c>
      <c r="C44" s="11" t="s">
        <v>13</v>
      </c>
      <c r="D44" s="11">
        <v>1</v>
      </c>
      <c r="E44" s="96" t="str">
        <f t="shared" si="0"/>
        <v>Zineb</v>
      </c>
      <c r="F44" s="56">
        <v>200</v>
      </c>
      <c r="G44" s="100">
        <v>5.0565905608236802E-2</v>
      </c>
      <c r="H44" s="100">
        <v>3.34999106125906E-3</v>
      </c>
      <c r="I44" s="100">
        <v>1.5667439873065301E-5</v>
      </c>
      <c r="J44" s="100">
        <v>1.03796783880246E-6</v>
      </c>
      <c r="K44" s="54" t="e">
        <f t="shared" si="1"/>
        <v>#DIV/0!</v>
      </c>
      <c r="L44" s="54" t="e">
        <f t="shared" si="2"/>
        <v>#DIV/0!</v>
      </c>
      <c r="M44" s="54" t="e">
        <f t="shared" si="3"/>
        <v>#DIV/0!</v>
      </c>
      <c r="N44" s="54" t="e">
        <f t="shared" si="4"/>
        <v>#DIV/0!</v>
      </c>
      <c r="O44" s="196"/>
      <c r="P44" s="196"/>
      <c r="Q44" s="196"/>
      <c r="R44" s="196"/>
      <c r="S44" s="73" t="e">
        <f t="shared" si="5"/>
        <v>#DIV/0!</v>
      </c>
      <c r="T44" s="73" t="e">
        <f t="shared" si="6"/>
        <v>#DIV/0!</v>
      </c>
      <c r="U44" s="73" t="e">
        <f t="shared" si="7"/>
        <v>#DIV/0!</v>
      </c>
      <c r="V44" s="73" t="e">
        <f t="shared" si="8"/>
        <v>#DIV/0!</v>
      </c>
    </row>
    <row r="45" spans="2:22" ht="14.25" customHeight="1" x14ac:dyDescent="0.2">
      <c r="B45" s="96" t="s">
        <v>142</v>
      </c>
      <c r="C45" s="11" t="s">
        <v>13</v>
      </c>
      <c r="D45" s="11">
        <v>3</v>
      </c>
      <c r="E45" s="96" t="str">
        <f t="shared" si="0"/>
        <v>Zineb</v>
      </c>
      <c r="F45" s="56">
        <v>60</v>
      </c>
      <c r="G45" s="100">
        <v>7.87423116713762E-2</v>
      </c>
      <c r="H45" s="100">
        <v>5.2166779385879603E-3</v>
      </c>
      <c r="I45" s="100">
        <v>5.1739902117257498E-6</v>
      </c>
      <c r="J45" s="100">
        <v>3.4277683316356402E-7</v>
      </c>
      <c r="K45" s="54" t="e">
        <f t="shared" si="1"/>
        <v>#DIV/0!</v>
      </c>
      <c r="L45" s="54" t="e">
        <f t="shared" si="2"/>
        <v>#DIV/0!</v>
      </c>
      <c r="M45" s="54" t="e">
        <f t="shared" si="3"/>
        <v>#DIV/0!</v>
      </c>
      <c r="N45" s="54" t="e">
        <f t="shared" si="4"/>
        <v>#DIV/0!</v>
      </c>
      <c r="O45" s="196"/>
      <c r="P45" s="196"/>
      <c r="Q45" s="196"/>
      <c r="R45" s="196"/>
      <c r="S45" s="73" t="e">
        <f t="shared" si="5"/>
        <v>#DIV/0!</v>
      </c>
      <c r="T45" s="73" t="e">
        <f t="shared" si="6"/>
        <v>#DIV/0!</v>
      </c>
      <c r="U45" s="73" t="e">
        <f t="shared" si="7"/>
        <v>#DIV/0!</v>
      </c>
      <c r="V45" s="73" t="e">
        <f t="shared" si="8"/>
        <v>#DIV/0!</v>
      </c>
    </row>
    <row r="46" spans="2:22" ht="14.25" customHeight="1" x14ac:dyDescent="0.2">
      <c r="B46" s="96" t="s">
        <v>143</v>
      </c>
      <c r="C46" s="11" t="s">
        <v>13</v>
      </c>
      <c r="D46" s="11">
        <v>4</v>
      </c>
      <c r="E46" s="96" t="str">
        <f t="shared" si="0"/>
        <v>Zineb</v>
      </c>
      <c r="F46" s="56">
        <v>300</v>
      </c>
      <c r="G46" s="100">
        <v>3.53394230082631E-2</v>
      </c>
      <c r="H46" s="100">
        <v>2.3412366700358701E-3</v>
      </c>
      <c r="I46" s="100">
        <v>2.3071436998349099E-6</v>
      </c>
      <c r="J46" s="100">
        <v>1.52848261214533E-7</v>
      </c>
      <c r="K46" s="54" t="e">
        <f t="shared" si="1"/>
        <v>#DIV/0!</v>
      </c>
      <c r="L46" s="54" t="e">
        <f t="shared" si="2"/>
        <v>#DIV/0!</v>
      </c>
      <c r="M46" s="54" t="e">
        <f t="shared" si="3"/>
        <v>#DIV/0!</v>
      </c>
      <c r="N46" s="54" t="e">
        <f t="shared" si="4"/>
        <v>#DIV/0!</v>
      </c>
      <c r="O46" s="196"/>
      <c r="P46" s="196"/>
      <c r="Q46" s="196"/>
      <c r="R46" s="196"/>
      <c r="S46" s="73" t="e">
        <f t="shared" si="5"/>
        <v>#DIV/0!</v>
      </c>
      <c r="T46" s="73" t="e">
        <f t="shared" si="6"/>
        <v>#DIV/0!</v>
      </c>
      <c r="U46" s="73" t="e">
        <f t="shared" si="7"/>
        <v>#DIV/0!</v>
      </c>
      <c r="V46" s="73" t="e">
        <f t="shared" si="8"/>
        <v>#DIV/0!</v>
      </c>
    </row>
    <row r="47" spans="2:22" ht="14.25" customHeight="1" x14ac:dyDescent="0.2">
      <c r="B47" s="96" t="s">
        <v>144</v>
      </c>
      <c r="C47" s="11" t="s">
        <v>13</v>
      </c>
      <c r="D47" s="11">
        <v>6</v>
      </c>
      <c r="E47" s="96" t="str">
        <f t="shared" si="0"/>
        <v>Zineb</v>
      </c>
      <c r="F47" s="56">
        <v>350</v>
      </c>
      <c r="G47" s="100">
        <v>1.34238678216934E-2</v>
      </c>
      <c r="H47" s="100">
        <v>8.8933119259308995E-4</v>
      </c>
      <c r="I47" s="100">
        <v>2.86824810824982E-6</v>
      </c>
      <c r="J47" s="100">
        <v>1.9002142670180699E-7</v>
      </c>
      <c r="K47" s="54" t="e">
        <f t="shared" si="1"/>
        <v>#DIV/0!</v>
      </c>
      <c r="L47" s="54" t="e">
        <f t="shared" si="2"/>
        <v>#DIV/0!</v>
      </c>
      <c r="M47" s="54" t="e">
        <f t="shared" si="3"/>
        <v>#DIV/0!</v>
      </c>
      <c r="N47" s="54" t="e">
        <f t="shared" si="4"/>
        <v>#DIV/0!</v>
      </c>
      <c r="O47" s="196"/>
      <c r="P47" s="196"/>
      <c r="Q47" s="196"/>
      <c r="R47" s="196"/>
      <c r="S47" s="73" t="e">
        <f t="shared" si="5"/>
        <v>#DIV/0!</v>
      </c>
      <c r="T47" s="73" t="e">
        <f t="shared" si="6"/>
        <v>#DIV/0!</v>
      </c>
      <c r="U47" s="73" t="e">
        <f t="shared" si="7"/>
        <v>#DIV/0!</v>
      </c>
      <c r="V47" s="73" t="e">
        <f t="shared" si="8"/>
        <v>#DIV/0!</v>
      </c>
    </row>
    <row r="48" spans="2:22" ht="14.25" customHeight="1" x14ac:dyDescent="0.2">
      <c r="B48" s="96" t="s">
        <v>145</v>
      </c>
      <c r="C48" s="11" t="s">
        <v>13</v>
      </c>
      <c r="D48" s="11">
        <v>7</v>
      </c>
      <c r="E48" s="96" t="str">
        <f t="shared" si="0"/>
        <v>Zineb</v>
      </c>
      <c r="F48" s="56">
        <v>70</v>
      </c>
      <c r="G48" s="100">
        <v>8.5277586132288002E-2</v>
      </c>
      <c r="H48" s="100">
        <v>5.6496397685259596E-3</v>
      </c>
      <c r="I48" s="100">
        <v>1.9071821068242399E-5</v>
      </c>
      <c r="J48" s="100">
        <v>1.26350808235642E-6</v>
      </c>
      <c r="K48" s="54" t="e">
        <f t="shared" si="1"/>
        <v>#DIV/0!</v>
      </c>
      <c r="L48" s="54" t="e">
        <f t="shared" si="2"/>
        <v>#DIV/0!</v>
      </c>
      <c r="M48" s="54" t="e">
        <f t="shared" si="3"/>
        <v>#DIV/0!</v>
      </c>
      <c r="N48" s="54" t="e">
        <f t="shared" si="4"/>
        <v>#DIV/0!</v>
      </c>
      <c r="O48" s="196"/>
      <c r="P48" s="196"/>
      <c r="Q48" s="196"/>
      <c r="R48" s="196"/>
      <c r="S48" s="73" t="e">
        <f t="shared" si="5"/>
        <v>#DIV/0!</v>
      </c>
      <c r="T48" s="73" t="e">
        <f t="shared" si="6"/>
        <v>#DIV/0!</v>
      </c>
      <c r="U48" s="73" t="e">
        <f t="shared" si="7"/>
        <v>#DIV/0!</v>
      </c>
      <c r="V48" s="73" t="e">
        <f t="shared" si="8"/>
        <v>#DIV/0!</v>
      </c>
    </row>
    <row r="49" spans="2:22" ht="14.25" customHeight="1" x14ac:dyDescent="0.2">
      <c r="B49" s="96" t="s">
        <v>146</v>
      </c>
      <c r="C49" s="11" t="s">
        <v>13</v>
      </c>
      <c r="D49" s="11">
        <v>8</v>
      </c>
      <c r="E49" s="96" t="str">
        <f t="shared" si="0"/>
        <v>Zineb</v>
      </c>
      <c r="F49" s="56">
        <v>600</v>
      </c>
      <c r="G49" s="100">
        <v>9.3579427991062406E-3</v>
      </c>
      <c r="H49" s="100">
        <v>6.1996366595849404E-4</v>
      </c>
      <c r="I49" s="100">
        <v>5.8454756031842499E-6</v>
      </c>
      <c r="J49" s="100">
        <v>3.8726273808582701E-7</v>
      </c>
      <c r="K49" s="54" t="e">
        <f t="shared" si="1"/>
        <v>#DIV/0!</v>
      </c>
      <c r="L49" s="54" t="e">
        <f t="shared" si="2"/>
        <v>#DIV/0!</v>
      </c>
      <c r="M49" s="54" t="e">
        <f t="shared" si="3"/>
        <v>#DIV/0!</v>
      </c>
      <c r="N49" s="54" t="e">
        <f t="shared" si="4"/>
        <v>#DIV/0!</v>
      </c>
      <c r="O49" s="196"/>
      <c r="P49" s="196"/>
      <c r="Q49" s="196"/>
      <c r="R49" s="196"/>
      <c r="S49" s="73" t="e">
        <f t="shared" si="5"/>
        <v>#DIV/0!</v>
      </c>
      <c r="T49" s="73" t="e">
        <f t="shared" si="6"/>
        <v>#DIV/0!</v>
      </c>
      <c r="U49" s="73" t="e">
        <f t="shared" si="7"/>
        <v>#DIV/0!</v>
      </c>
      <c r="V49" s="73" t="e">
        <f t="shared" si="8"/>
        <v>#DIV/0!</v>
      </c>
    </row>
    <row r="50" spans="2:22" ht="14.25" customHeight="1" x14ac:dyDescent="0.2">
      <c r="B50" s="96" t="s">
        <v>147</v>
      </c>
      <c r="C50" s="11" t="s">
        <v>13</v>
      </c>
      <c r="D50" s="11">
        <v>14</v>
      </c>
      <c r="E50" s="96" t="str">
        <f t="shared" si="0"/>
        <v>Zineb</v>
      </c>
      <c r="F50" s="56">
        <v>200</v>
      </c>
      <c r="G50" s="100">
        <v>3.1618512049317399E-2</v>
      </c>
      <c r="H50" s="100">
        <v>2.0947263063862899E-3</v>
      </c>
      <c r="I50" s="100">
        <v>6.8908671855183404E-6</v>
      </c>
      <c r="J50" s="100">
        <v>4.56519926547531E-7</v>
      </c>
      <c r="K50" s="54" t="e">
        <f t="shared" si="1"/>
        <v>#DIV/0!</v>
      </c>
      <c r="L50" s="54" t="e">
        <f t="shared" si="2"/>
        <v>#DIV/0!</v>
      </c>
      <c r="M50" s="54" t="e">
        <f t="shared" si="3"/>
        <v>#DIV/0!</v>
      </c>
      <c r="N50" s="54" t="e">
        <f t="shared" si="4"/>
        <v>#DIV/0!</v>
      </c>
      <c r="O50" s="196"/>
      <c r="P50" s="196"/>
      <c r="Q50" s="196"/>
      <c r="R50" s="196"/>
      <c r="S50" s="73" t="e">
        <f t="shared" si="5"/>
        <v>#DIV/0!</v>
      </c>
      <c r="T50" s="73" t="e">
        <f t="shared" si="6"/>
        <v>#DIV/0!</v>
      </c>
      <c r="U50" s="73" t="e">
        <f t="shared" si="7"/>
        <v>#DIV/0!</v>
      </c>
      <c r="V50" s="73" t="e">
        <f t="shared" si="8"/>
        <v>#DIV/0!</v>
      </c>
    </row>
    <row r="51" spans="2:22" ht="14.25" customHeight="1" x14ac:dyDescent="0.2">
      <c r="B51" s="96" t="s">
        <v>148</v>
      </c>
      <c r="C51" s="11" t="s">
        <v>13</v>
      </c>
      <c r="D51" s="11">
        <v>17</v>
      </c>
      <c r="E51" s="96" t="str">
        <f t="shared" si="0"/>
        <v>Zineb</v>
      </c>
      <c r="F51" s="56">
        <v>70</v>
      </c>
      <c r="G51" s="100">
        <v>7.53738943021744E-3</v>
      </c>
      <c r="H51" s="100">
        <v>4.9935202332562799E-4</v>
      </c>
      <c r="I51" s="100">
        <v>9.90857554314782E-5</v>
      </c>
      <c r="J51" s="100">
        <v>6.5644309377354703E-6</v>
      </c>
      <c r="K51" s="54" t="e">
        <f t="shared" si="1"/>
        <v>#DIV/0!</v>
      </c>
      <c r="L51" s="54" t="e">
        <f t="shared" si="2"/>
        <v>#DIV/0!</v>
      </c>
      <c r="M51" s="54" t="e">
        <f t="shared" si="3"/>
        <v>#DIV/0!</v>
      </c>
      <c r="N51" s="54" t="e">
        <f t="shared" si="4"/>
        <v>#DIV/0!</v>
      </c>
      <c r="O51" s="196"/>
      <c r="P51" s="196"/>
      <c r="Q51" s="196"/>
      <c r="R51" s="196"/>
      <c r="S51" s="73" t="e">
        <f t="shared" si="5"/>
        <v>#DIV/0!</v>
      </c>
      <c r="T51" s="73" t="e">
        <f t="shared" si="6"/>
        <v>#DIV/0!</v>
      </c>
      <c r="U51" s="73" t="e">
        <f t="shared" si="7"/>
        <v>#DIV/0!</v>
      </c>
      <c r="V51" s="73" t="e">
        <f t="shared" si="8"/>
        <v>#DIV/0!</v>
      </c>
    </row>
    <row r="52" spans="2:22" ht="14.25" customHeight="1" x14ac:dyDescent="0.2">
      <c r="B52" s="96" t="s">
        <v>149</v>
      </c>
      <c r="C52" s="11" t="s">
        <v>13</v>
      </c>
      <c r="D52" s="11">
        <v>21</v>
      </c>
      <c r="E52" s="96" t="str">
        <f t="shared" si="0"/>
        <v>Zineb</v>
      </c>
      <c r="F52" s="56">
        <v>375</v>
      </c>
      <c r="G52" s="100">
        <v>1.0569735439494301E-2</v>
      </c>
      <c r="H52" s="100">
        <v>7.0024493616074304E-4</v>
      </c>
      <c r="I52" s="100">
        <v>1.47166490678125E-5</v>
      </c>
      <c r="J52" s="100">
        <v>9.7497795039012796E-7</v>
      </c>
      <c r="K52" s="54" t="e">
        <f t="shared" si="1"/>
        <v>#DIV/0!</v>
      </c>
      <c r="L52" s="54" t="e">
        <f t="shared" si="2"/>
        <v>#DIV/0!</v>
      </c>
      <c r="M52" s="54" t="e">
        <f t="shared" si="3"/>
        <v>#DIV/0!</v>
      </c>
      <c r="N52" s="54" t="e">
        <f t="shared" si="4"/>
        <v>#DIV/0!</v>
      </c>
      <c r="O52" s="196"/>
      <c r="P52" s="196"/>
      <c r="Q52" s="196"/>
      <c r="R52" s="196"/>
      <c r="S52" s="73" t="e">
        <f t="shared" si="5"/>
        <v>#DIV/0!</v>
      </c>
      <c r="T52" s="73" t="e">
        <f t="shared" si="6"/>
        <v>#DIV/0!</v>
      </c>
      <c r="U52" s="73" t="e">
        <f t="shared" si="7"/>
        <v>#DIV/0!</v>
      </c>
      <c r="V52" s="73" t="e">
        <f t="shared" si="8"/>
        <v>#DIV/0!</v>
      </c>
    </row>
    <row r="53" spans="2:22" ht="14.25" customHeight="1" x14ac:dyDescent="0.2">
      <c r="B53" s="96" t="s">
        <v>150</v>
      </c>
      <c r="C53" s="11" t="s">
        <v>13</v>
      </c>
      <c r="D53" s="11">
        <v>26</v>
      </c>
      <c r="E53" s="96" t="str">
        <f t="shared" si="0"/>
        <v>Zineb</v>
      </c>
      <c r="F53" s="56">
        <v>700</v>
      </c>
      <c r="G53" s="100">
        <v>4.4084881059825399E-3</v>
      </c>
      <c r="H53" s="100">
        <v>2.9206231440184603E-4</v>
      </c>
      <c r="I53" s="100">
        <v>9.3874834534342799E-8</v>
      </c>
      <c r="J53" s="100">
        <v>6.2192074593072701E-9</v>
      </c>
      <c r="K53" s="54" t="e">
        <f t="shared" si="1"/>
        <v>#DIV/0!</v>
      </c>
      <c r="L53" s="54" t="e">
        <f t="shared" si="2"/>
        <v>#DIV/0!</v>
      </c>
      <c r="M53" s="54" t="e">
        <f t="shared" si="3"/>
        <v>#DIV/0!</v>
      </c>
      <c r="N53" s="54" t="e">
        <f t="shared" si="4"/>
        <v>#DIV/0!</v>
      </c>
      <c r="O53" s="196"/>
      <c r="P53" s="196"/>
      <c r="Q53" s="196"/>
      <c r="R53" s="196"/>
      <c r="S53" s="73" t="e">
        <f t="shared" si="5"/>
        <v>#DIV/0!</v>
      </c>
      <c r="T53" s="73" t="e">
        <f t="shared" si="6"/>
        <v>#DIV/0!</v>
      </c>
      <c r="U53" s="73" t="e">
        <f t="shared" si="7"/>
        <v>#DIV/0!</v>
      </c>
      <c r="V53" s="73" t="e">
        <f t="shared" si="8"/>
        <v>#DIV/0!</v>
      </c>
    </row>
    <row r="54" spans="2:22" ht="14.25" customHeight="1" x14ac:dyDescent="0.2">
      <c r="B54" s="96" t="s">
        <v>151</v>
      </c>
      <c r="C54" s="11" t="s">
        <v>13</v>
      </c>
      <c r="D54" s="11">
        <v>30</v>
      </c>
      <c r="E54" s="96" t="str">
        <f t="shared" si="0"/>
        <v>Zineb</v>
      </c>
      <c r="F54" s="56">
        <v>320</v>
      </c>
      <c r="G54" s="100">
        <v>2.5898073017597199E-2</v>
      </c>
      <c r="H54" s="100">
        <v>1.71574726351537E-3</v>
      </c>
      <c r="I54" s="100">
        <v>7.1980641822020799E-7</v>
      </c>
      <c r="J54" s="100">
        <v>4.76871726353188E-8</v>
      </c>
      <c r="K54" s="54" t="e">
        <f t="shared" si="1"/>
        <v>#DIV/0!</v>
      </c>
      <c r="L54" s="54" t="e">
        <f t="shared" si="2"/>
        <v>#DIV/0!</v>
      </c>
      <c r="M54" s="54" t="e">
        <f t="shared" si="3"/>
        <v>#DIV/0!</v>
      </c>
      <c r="N54" s="54" t="e">
        <f t="shared" si="4"/>
        <v>#DIV/0!</v>
      </c>
      <c r="O54" s="196"/>
      <c r="P54" s="196"/>
      <c r="Q54" s="196"/>
      <c r="R54" s="196"/>
      <c r="S54" s="73" t="e">
        <f t="shared" si="5"/>
        <v>#DIV/0!</v>
      </c>
      <c r="T54" s="73" t="e">
        <f t="shared" si="6"/>
        <v>#DIV/0!</v>
      </c>
      <c r="U54" s="73" t="e">
        <f t="shared" si="7"/>
        <v>#DIV/0!</v>
      </c>
      <c r="V54" s="73" t="e">
        <f t="shared" si="8"/>
        <v>#DIV/0!</v>
      </c>
    </row>
    <row r="55" spans="2:22" ht="14.25" customHeight="1" x14ac:dyDescent="0.2">
      <c r="B55" s="96" t="s">
        <v>152</v>
      </c>
      <c r="C55" s="11" t="s">
        <v>13</v>
      </c>
      <c r="D55" s="11">
        <v>34</v>
      </c>
      <c r="E55" s="96" t="str">
        <f t="shared" si="0"/>
        <v>Zineb</v>
      </c>
      <c r="F55" s="56">
        <v>1200</v>
      </c>
      <c r="G55" s="100">
        <v>2.8861335595138401E-3</v>
      </c>
      <c r="H55" s="100">
        <v>1.91206337913172E-4</v>
      </c>
      <c r="I55" s="100">
        <v>1.80962742751349E-7</v>
      </c>
      <c r="J55" s="100">
        <v>1.1988781060251001E-8</v>
      </c>
      <c r="K55" s="54" t="e">
        <f t="shared" si="1"/>
        <v>#DIV/0!</v>
      </c>
      <c r="L55" s="54" t="e">
        <f t="shared" si="2"/>
        <v>#DIV/0!</v>
      </c>
      <c r="M55" s="54" t="e">
        <f t="shared" si="3"/>
        <v>#DIV/0!</v>
      </c>
      <c r="N55" s="54" t="e">
        <f t="shared" si="4"/>
        <v>#DIV/0!</v>
      </c>
      <c r="O55" s="196"/>
      <c r="P55" s="196"/>
      <c r="Q55" s="196"/>
      <c r="R55" s="196"/>
      <c r="S55" s="73" t="e">
        <f t="shared" si="5"/>
        <v>#DIV/0!</v>
      </c>
      <c r="T55" s="73" t="e">
        <f t="shared" si="6"/>
        <v>#DIV/0!</v>
      </c>
      <c r="U55" s="73" t="e">
        <f t="shared" si="7"/>
        <v>#DIV/0!</v>
      </c>
      <c r="V55" s="73" t="e">
        <f t="shared" si="8"/>
        <v>#DIV/0!</v>
      </c>
    </row>
    <row r="56" spans="2:22" ht="14.25" customHeight="1" x14ac:dyDescent="0.2">
      <c r="B56" s="96" t="s">
        <v>153</v>
      </c>
      <c r="C56" s="11" t="s">
        <v>13</v>
      </c>
      <c r="D56" s="11">
        <v>40</v>
      </c>
      <c r="E56" s="96" t="str">
        <f t="shared" si="0"/>
        <v>Zineb</v>
      </c>
      <c r="F56" s="56">
        <v>200</v>
      </c>
      <c r="G56" s="100">
        <v>1.4030060218647099E-2</v>
      </c>
      <c r="H56" s="100">
        <v>9.2949143727309995E-4</v>
      </c>
      <c r="I56" s="100">
        <v>7.4102307542029606E-5</v>
      </c>
      <c r="J56" s="100">
        <v>4.9092776033619303E-6</v>
      </c>
      <c r="K56" s="54" t="e">
        <f t="shared" si="1"/>
        <v>#DIV/0!</v>
      </c>
      <c r="L56" s="54" t="e">
        <f t="shared" si="2"/>
        <v>#DIV/0!</v>
      </c>
      <c r="M56" s="54" t="e">
        <f t="shared" si="3"/>
        <v>#DIV/0!</v>
      </c>
      <c r="N56" s="54" t="e">
        <f t="shared" si="4"/>
        <v>#DIV/0!</v>
      </c>
      <c r="O56" s="196"/>
      <c r="P56" s="196"/>
      <c r="Q56" s="196"/>
      <c r="R56" s="196"/>
      <c r="S56" s="73" t="e">
        <f t="shared" si="5"/>
        <v>#DIV/0!</v>
      </c>
      <c r="T56" s="73" t="e">
        <f t="shared" si="6"/>
        <v>#DIV/0!</v>
      </c>
      <c r="U56" s="73" t="e">
        <f t="shared" si="7"/>
        <v>#DIV/0!</v>
      </c>
      <c r="V56" s="73" t="e">
        <f t="shared" si="8"/>
        <v>#DIV/0!</v>
      </c>
    </row>
    <row r="57" spans="2:22" ht="14.25" customHeight="1" x14ac:dyDescent="0.2">
      <c r="B57" s="96" t="s">
        <v>154</v>
      </c>
      <c r="C57" s="11" t="s">
        <v>13</v>
      </c>
      <c r="D57" s="11">
        <v>42</v>
      </c>
      <c r="E57" s="96" t="str">
        <f t="shared" si="0"/>
        <v>Zineb</v>
      </c>
      <c r="F57" s="56">
        <v>350</v>
      </c>
      <c r="G57" s="100">
        <v>1.34546543005854E-2</v>
      </c>
      <c r="H57" s="100">
        <v>8.9137080125510702E-4</v>
      </c>
      <c r="I57" s="100">
        <v>1.1146569376271599E-4</v>
      </c>
      <c r="J57" s="100">
        <v>7.3846018192587901E-6</v>
      </c>
      <c r="K57" s="54" t="e">
        <f t="shared" si="1"/>
        <v>#DIV/0!</v>
      </c>
      <c r="L57" s="54" t="e">
        <f t="shared" si="2"/>
        <v>#DIV/0!</v>
      </c>
      <c r="M57" s="54" t="e">
        <f t="shared" si="3"/>
        <v>#DIV/0!</v>
      </c>
      <c r="N57" s="54" t="e">
        <f t="shared" si="4"/>
        <v>#DIV/0!</v>
      </c>
      <c r="O57" s="196"/>
      <c r="P57" s="196"/>
      <c r="Q57" s="196"/>
      <c r="R57" s="196"/>
      <c r="S57" s="73" t="e">
        <f t="shared" si="5"/>
        <v>#DIV/0!</v>
      </c>
      <c r="T57" s="73" t="e">
        <f t="shared" si="6"/>
        <v>#DIV/0!</v>
      </c>
      <c r="U57" s="73" t="e">
        <f t="shared" si="7"/>
        <v>#DIV/0!</v>
      </c>
      <c r="V57" s="73" t="e">
        <f t="shared" si="8"/>
        <v>#DIV/0!</v>
      </c>
    </row>
    <row r="58" spans="2:22" ht="14.25" customHeight="1" x14ac:dyDescent="0.2">
      <c r="B58" s="96" t="s">
        <v>155</v>
      </c>
      <c r="C58" s="11" t="s">
        <v>13</v>
      </c>
      <c r="D58" s="11">
        <v>44</v>
      </c>
      <c r="E58" s="96" t="str">
        <f t="shared" si="0"/>
        <v>Zineb</v>
      </c>
      <c r="F58" s="56">
        <v>500</v>
      </c>
      <c r="G58" s="100">
        <v>8.4854590799659495E-3</v>
      </c>
      <c r="H58" s="100">
        <v>5.6216163677163405E-4</v>
      </c>
      <c r="I58" s="100">
        <v>1.2593969808349901E-6</v>
      </c>
      <c r="J58" s="100">
        <v>8.3435044799055406E-8</v>
      </c>
      <c r="K58" s="54" t="e">
        <f t="shared" si="1"/>
        <v>#DIV/0!</v>
      </c>
      <c r="L58" s="54" t="e">
        <f t="shared" si="2"/>
        <v>#DIV/0!</v>
      </c>
      <c r="M58" s="54" t="e">
        <f t="shared" si="3"/>
        <v>#DIV/0!</v>
      </c>
      <c r="N58" s="54" t="e">
        <f t="shared" si="4"/>
        <v>#DIV/0!</v>
      </c>
      <c r="O58" s="196"/>
      <c r="P58" s="196"/>
      <c r="Q58" s="196"/>
      <c r="R58" s="196"/>
      <c r="S58" s="73" t="e">
        <f t="shared" si="5"/>
        <v>#DIV/0!</v>
      </c>
      <c r="T58" s="73" t="e">
        <f t="shared" si="6"/>
        <v>#DIV/0!</v>
      </c>
      <c r="U58" s="73" t="e">
        <f t="shared" si="7"/>
        <v>#DIV/0!</v>
      </c>
      <c r="V58" s="73" t="e">
        <f t="shared" si="8"/>
        <v>#DIV/0!</v>
      </c>
    </row>
    <row r="59" spans="2:22" ht="14.25" customHeight="1" x14ac:dyDescent="0.2">
      <c r="B59" s="96" t="s">
        <v>156</v>
      </c>
      <c r="C59" s="11" t="s">
        <v>13</v>
      </c>
      <c r="D59" s="11">
        <v>45</v>
      </c>
      <c r="E59" s="96" t="str">
        <f t="shared" si="0"/>
        <v>Zineb</v>
      </c>
      <c r="F59" s="56">
        <v>160</v>
      </c>
      <c r="G59" s="100">
        <v>2.5709433350712099E-2</v>
      </c>
      <c r="H59" s="100">
        <v>1.70324986916967E-3</v>
      </c>
      <c r="I59" s="100">
        <v>1.6142297504925299E-4</v>
      </c>
      <c r="J59" s="100">
        <v>1.06942714981765E-5</v>
      </c>
      <c r="K59" s="54" t="e">
        <f t="shared" si="1"/>
        <v>#DIV/0!</v>
      </c>
      <c r="L59" s="54" t="e">
        <f t="shared" si="2"/>
        <v>#DIV/0!</v>
      </c>
      <c r="M59" s="54" t="e">
        <f t="shared" si="3"/>
        <v>#DIV/0!</v>
      </c>
      <c r="N59" s="54" t="e">
        <f t="shared" si="4"/>
        <v>#DIV/0!</v>
      </c>
      <c r="O59" s="196"/>
      <c r="P59" s="196"/>
      <c r="Q59" s="196"/>
      <c r="R59" s="196"/>
      <c r="S59" s="73" t="e">
        <f t="shared" si="5"/>
        <v>#DIV/0!</v>
      </c>
      <c r="T59" s="73" t="e">
        <f t="shared" si="6"/>
        <v>#DIV/0!</v>
      </c>
      <c r="U59" s="73" t="e">
        <f t="shared" si="7"/>
        <v>#DIV/0!</v>
      </c>
      <c r="V59" s="73" t="e">
        <f t="shared" si="8"/>
        <v>#DIV/0!</v>
      </c>
    </row>
    <row r="60" spans="2:22" ht="14.25" customHeight="1" x14ac:dyDescent="0.2">
      <c r="B60" s="96" t="s">
        <v>157</v>
      </c>
      <c r="C60" s="11" t="s">
        <v>13</v>
      </c>
      <c r="D60" s="11">
        <v>46</v>
      </c>
      <c r="E60" s="96" t="str">
        <f t="shared" si="0"/>
        <v>Zineb</v>
      </c>
      <c r="F60" s="56">
        <v>450</v>
      </c>
      <c r="G60" s="100">
        <v>4.4516997085884196E-3</v>
      </c>
      <c r="H60" s="100">
        <v>2.9492509172996501E-4</v>
      </c>
      <c r="I60" s="100">
        <v>1.0063502110784E-7</v>
      </c>
      <c r="J60" s="100">
        <v>6.6670697801858804E-9</v>
      </c>
      <c r="K60" s="54" t="e">
        <f t="shared" si="1"/>
        <v>#DIV/0!</v>
      </c>
      <c r="L60" s="54" t="e">
        <f t="shared" si="2"/>
        <v>#DIV/0!</v>
      </c>
      <c r="M60" s="54" t="e">
        <f t="shared" si="3"/>
        <v>#DIV/0!</v>
      </c>
      <c r="N60" s="54" t="e">
        <f t="shared" si="4"/>
        <v>#DIV/0!</v>
      </c>
      <c r="O60" s="196"/>
      <c r="P60" s="196"/>
      <c r="Q60" s="196"/>
      <c r="R60" s="196"/>
      <c r="S60" s="73" t="e">
        <f t="shared" si="5"/>
        <v>#DIV/0!</v>
      </c>
      <c r="T60" s="73" t="e">
        <f t="shared" si="6"/>
        <v>#DIV/0!</v>
      </c>
      <c r="U60" s="73" t="e">
        <f t="shared" si="7"/>
        <v>#DIV/0!</v>
      </c>
      <c r="V60" s="73" t="e">
        <f t="shared" si="8"/>
        <v>#DIV/0!</v>
      </c>
    </row>
    <row r="61" spans="2:22" ht="14.25" customHeight="1" x14ac:dyDescent="0.2">
      <c r="B61" s="96" t="s">
        <v>158</v>
      </c>
      <c r="C61" s="11" t="s">
        <v>13</v>
      </c>
      <c r="D61" s="11">
        <v>48</v>
      </c>
      <c r="E61" s="96" t="str">
        <f t="shared" si="0"/>
        <v>Zineb</v>
      </c>
      <c r="F61" s="56">
        <v>365</v>
      </c>
      <c r="G61" s="100">
        <v>9.1714799962937799E-3</v>
      </c>
      <c r="H61" s="100">
        <v>6.0761052998714203E-4</v>
      </c>
      <c r="I61" s="100">
        <v>1.42143463338505E-6</v>
      </c>
      <c r="J61" s="100">
        <v>9.4170040135541407E-8</v>
      </c>
      <c r="K61" s="54" t="e">
        <f t="shared" si="1"/>
        <v>#DIV/0!</v>
      </c>
      <c r="L61" s="54" t="e">
        <f t="shared" si="2"/>
        <v>#DIV/0!</v>
      </c>
      <c r="M61" s="54" t="e">
        <f t="shared" si="3"/>
        <v>#DIV/0!</v>
      </c>
      <c r="N61" s="54" t="e">
        <f t="shared" si="4"/>
        <v>#DIV/0!</v>
      </c>
      <c r="O61" s="196"/>
      <c r="P61" s="196"/>
      <c r="Q61" s="196"/>
      <c r="R61" s="196"/>
      <c r="S61" s="73" t="e">
        <f t="shared" si="5"/>
        <v>#DIV/0!</v>
      </c>
      <c r="T61" s="73" t="e">
        <f t="shared" si="6"/>
        <v>#DIV/0!</v>
      </c>
      <c r="U61" s="73" t="e">
        <f t="shared" si="7"/>
        <v>#DIV/0!</v>
      </c>
      <c r="V61" s="73" t="e">
        <f t="shared" si="8"/>
        <v>#DIV/0!</v>
      </c>
    </row>
    <row r="62" spans="2:22" ht="14.25" customHeight="1" x14ac:dyDescent="0.2">
      <c r="B62" s="96" t="s">
        <v>159</v>
      </c>
      <c r="C62" s="11" t="s">
        <v>160</v>
      </c>
      <c r="D62" s="11">
        <v>1</v>
      </c>
      <c r="E62" s="96" t="str">
        <f t="shared" si="0"/>
        <v>Zineb</v>
      </c>
      <c r="F62" s="56">
        <v>54</v>
      </c>
      <c r="G62" s="100">
        <v>7.1934944465756406E-2</v>
      </c>
      <c r="H62" s="100">
        <v>1.4386988518526799E-3</v>
      </c>
      <c r="I62" s="100">
        <v>3.0481439493575401E-4</v>
      </c>
      <c r="J62" s="100">
        <v>6.0962877380509996E-6</v>
      </c>
      <c r="K62" s="54" t="e">
        <f t="shared" si="1"/>
        <v>#DIV/0!</v>
      </c>
      <c r="L62" s="54" t="e">
        <f t="shared" si="2"/>
        <v>#DIV/0!</v>
      </c>
      <c r="M62" s="54" t="e">
        <f t="shared" si="3"/>
        <v>#DIV/0!</v>
      </c>
      <c r="N62" s="54" t="e">
        <f t="shared" si="4"/>
        <v>#DIV/0!</v>
      </c>
      <c r="O62" s="196"/>
      <c r="P62" s="196"/>
      <c r="Q62" s="196"/>
      <c r="R62" s="196"/>
      <c r="S62" s="73" t="e">
        <f t="shared" si="5"/>
        <v>#DIV/0!</v>
      </c>
      <c r="T62" s="73" t="e">
        <f t="shared" si="6"/>
        <v>#DIV/0!</v>
      </c>
      <c r="U62" s="73" t="e">
        <f t="shared" si="7"/>
        <v>#DIV/0!</v>
      </c>
      <c r="V62" s="73" t="e">
        <f t="shared" si="8"/>
        <v>#DIV/0!</v>
      </c>
    </row>
    <row r="63" spans="2:22" ht="14.25" customHeight="1" x14ac:dyDescent="0.2">
      <c r="B63" s="96" t="s">
        <v>161</v>
      </c>
      <c r="C63" s="11" t="s">
        <v>160</v>
      </c>
      <c r="D63" s="11">
        <v>2</v>
      </c>
      <c r="E63" s="96" t="str">
        <f t="shared" si="0"/>
        <v>Zineb</v>
      </c>
      <c r="F63" s="56">
        <v>400</v>
      </c>
      <c r="G63" s="100">
        <v>8.6029089894145705E-3</v>
      </c>
      <c r="H63" s="100">
        <v>4.3230698560364501E-4</v>
      </c>
      <c r="I63" s="100">
        <v>6.1772669883596193E-8</v>
      </c>
      <c r="J63" s="100">
        <v>3.10415427951158E-9</v>
      </c>
      <c r="K63" s="54" t="e">
        <f t="shared" si="1"/>
        <v>#DIV/0!</v>
      </c>
      <c r="L63" s="54" t="e">
        <f t="shared" si="2"/>
        <v>#DIV/0!</v>
      </c>
      <c r="M63" s="54" t="e">
        <f t="shared" si="3"/>
        <v>#DIV/0!</v>
      </c>
      <c r="N63" s="54" t="e">
        <f t="shared" si="4"/>
        <v>#DIV/0!</v>
      </c>
      <c r="O63" s="196"/>
      <c r="P63" s="196"/>
      <c r="Q63" s="196"/>
      <c r="R63" s="196"/>
      <c r="S63" s="73" t="e">
        <f t="shared" si="5"/>
        <v>#DIV/0!</v>
      </c>
      <c r="T63" s="73" t="e">
        <f t="shared" si="6"/>
        <v>#DIV/0!</v>
      </c>
      <c r="U63" s="73" t="e">
        <f t="shared" si="7"/>
        <v>#DIV/0!</v>
      </c>
      <c r="V63" s="73" t="e">
        <f t="shared" si="8"/>
        <v>#DIV/0!</v>
      </c>
    </row>
    <row r="64" spans="2:22" ht="14.25" customHeight="1" x14ac:dyDescent="0.2">
      <c r="B64" s="96" t="s">
        <v>162</v>
      </c>
      <c r="C64" s="11" t="s">
        <v>160</v>
      </c>
      <c r="D64" s="11">
        <v>3</v>
      </c>
      <c r="E64" s="96" t="str">
        <f t="shared" si="0"/>
        <v>Zineb</v>
      </c>
      <c r="F64" s="56">
        <v>180</v>
      </c>
      <c r="G64" s="100">
        <v>2.0127834286540699E-3</v>
      </c>
      <c r="H64" s="100">
        <v>1.01144896429365E-4</v>
      </c>
      <c r="I64" s="100">
        <v>1.16650393198123E-4</v>
      </c>
      <c r="J64" s="100">
        <v>5.8618287963807297E-6</v>
      </c>
      <c r="K64" s="54" t="e">
        <f t="shared" si="1"/>
        <v>#DIV/0!</v>
      </c>
      <c r="L64" s="54" t="e">
        <f t="shared" si="2"/>
        <v>#DIV/0!</v>
      </c>
      <c r="M64" s="54" t="e">
        <f t="shared" si="3"/>
        <v>#DIV/0!</v>
      </c>
      <c r="N64" s="54" t="e">
        <f t="shared" si="4"/>
        <v>#DIV/0!</v>
      </c>
      <c r="O64" s="196"/>
      <c r="P64" s="196"/>
      <c r="Q64" s="196"/>
      <c r="R64" s="196"/>
      <c r="S64" s="73" t="e">
        <f t="shared" si="5"/>
        <v>#DIV/0!</v>
      </c>
      <c r="T64" s="73" t="e">
        <f t="shared" si="6"/>
        <v>#DIV/0!</v>
      </c>
      <c r="U64" s="73" t="e">
        <f t="shared" si="7"/>
        <v>#DIV/0!</v>
      </c>
      <c r="V64" s="73" t="e">
        <f t="shared" si="8"/>
        <v>#DIV/0!</v>
      </c>
    </row>
    <row r="65" spans="1:22" ht="14.25" customHeight="1" x14ac:dyDescent="0.2">
      <c r="B65" s="96" t="s">
        <v>163</v>
      </c>
      <c r="C65" s="11" t="s">
        <v>160</v>
      </c>
      <c r="D65" s="11">
        <v>4</v>
      </c>
      <c r="E65" s="96" t="str">
        <f t="shared" si="0"/>
        <v>Zineb</v>
      </c>
      <c r="F65" s="56">
        <v>85</v>
      </c>
      <c r="G65" s="100">
        <v>8.7883326113223997E-2</v>
      </c>
      <c r="H65" s="100">
        <v>6.7654603254049999E-3</v>
      </c>
      <c r="I65" s="100">
        <v>1.2258446477607401E-4</v>
      </c>
      <c r="J65" s="100">
        <v>9.4368336598973207E-6</v>
      </c>
      <c r="K65" s="54" t="e">
        <f t="shared" si="1"/>
        <v>#DIV/0!</v>
      </c>
      <c r="L65" s="54" t="e">
        <f t="shared" si="2"/>
        <v>#DIV/0!</v>
      </c>
      <c r="M65" s="54" t="e">
        <f t="shared" si="3"/>
        <v>#DIV/0!</v>
      </c>
      <c r="N65" s="54" t="e">
        <f t="shared" si="4"/>
        <v>#DIV/0!</v>
      </c>
      <c r="O65" s="196"/>
      <c r="P65" s="196"/>
      <c r="Q65" s="196"/>
      <c r="R65" s="196"/>
      <c r="S65" s="73" t="e">
        <f t="shared" si="5"/>
        <v>#DIV/0!</v>
      </c>
      <c r="T65" s="73" t="e">
        <f t="shared" si="6"/>
        <v>#DIV/0!</v>
      </c>
      <c r="U65" s="73" t="e">
        <f t="shared" si="7"/>
        <v>#DIV/0!</v>
      </c>
      <c r="V65" s="73" t="e">
        <f t="shared" si="8"/>
        <v>#DIV/0!</v>
      </c>
    </row>
    <row r="66" spans="1:22" ht="14.25" customHeight="1" x14ac:dyDescent="0.2">
      <c r="B66" s="96" t="s">
        <v>164</v>
      </c>
      <c r="C66" s="11" t="s">
        <v>160</v>
      </c>
      <c r="D66" s="11">
        <v>5</v>
      </c>
      <c r="E66" s="96" t="str">
        <f t="shared" si="0"/>
        <v>Zineb</v>
      </c>
      <c r="F66" s="56">
        <v>80</v>
      </c>
      <c r="G66" s="100">
        <v>8.0178740024566597E-2</v>
      </c>
      <c r="H66" s="100">
        <v>4.0290823858231302E-3</v>
      </c>
      <c r="I66" s="100">
        <v>7.3323252287827899E-7</v>
      </c>
      <c r="J66" s="100">
        <v>3.6845855716792501E-8</v>
      </c>
      <c r="K66" s="54" t="e">
        <f t="shared" si="1"/>
        <v>#DIV/0!</v>
      </c>
      <c r="L66" s="54" t="e">
        <f t="shared" si="2"/>
        <v>#DIV/0!</v>
      </c>
      <c r="M66" s="54" t="e">
        <f t="shared" si="3"/>
        <v>#DIV/0!</v>
      </c>
      <c r="N66" s="54" t="e">
        <f t="shared" si="4"/>
        <v>#DIV/0!</v>
      </c>
      <c r="O66" s="196"/>
      <c r="P66" s="196"/>
      <c r="Q66" s="196"/>
      <c r="R66" s="196"/>
      <c r="S66" s="73" t="e">
        <f t="shared" si="5"/>
        <v>#DIV/0!</v>
      </c>
      <c r="T66" s="73" t="e">
        <f t="shared" si="6"/>
        <v>#DIV/0!</v>
      </c>
      <c r="U66" s="73" t="e">
        <f t="shared" si="7"/>
        <v>#DIV/0!</v>
      </c>
      <c r="V66" s="73" t="e">
        <f t="shared" si="8"/>
        <v>#DIV/0!</v>
      </c>
    </row>
    <row r="67" spans="1:22" x14ac:dyDescent="0.2">
      <c r="B67" s="194" t="s">
        <v>14</v>
      </c>
      <c r="C67" s="194"/>
      <c r="D67" s="194"/>
      <c r="E67" s="194"/>
      <c r="F67" s="55"/>
      <c r="G67" s="55"/>
      <c r="H67" s="55"/>
      <c r="I67" s="55"/>
      <c r="J67" s="55"/>
      <c r="K67" s="74" t="e">
        <f>MAX($K$21:$K$66)</f>
        <v>#DIV/0!</v>
      </c>
      <c r="L67" s="74" t="e">
        <f>MAX($L$21:$L$66)</f>
        <v>#DIV/0!</v>
      </c>
      <c r="M67" s="74" t="e">
        <f>MAX($M$21:$M$66)</f>
        <v>#DIV/0!</v>
      </c>
      <c r="N67" s="74" t="e">
        <f>MAX($N$21:$N$66)</f>
        <v>#DIV/0!</v>
      </c>
      <c r="O67" s="74"/>
      <c r="P67" s="74"/>
      <c r="Q67" s="74"/>
      <c r="R67" s="74"/>
      <c r="S67" s="74" t="e">
        <f>MAX($S$21:$S$66)</f>
        <v>#DIV/0!</v>
      </c>
      <c r="T67" s="74" t="e">
        <f>MAX($T$21:$T$66)</f>
        <v>#DIV/0!</v>
      </c>
      <c r="U67" s="74" t="e">
        <f>MAX($U$21:$U$66)</f>
        <v>#DIV/0!</v>
      </c>
      <c r="V67" s="74" t="e">
        <f>MAX($V$21:$V$66)</f>
        <v>#DIV/0!</v>
      </c>
    </row>
    <row r="68" spans="1:22" x14ac:dyDescent="0.2">
      <c r="B68" s="194" t="s">
        <v>15</v>
      </c>
      <c r="C68" s="194"/>
      <c r="D68" s="194"/>
      <c r="E68" s="194"/>
      <c r="F68" s="55"/>
      <c r="G68" s="55"/>
      <c r="H68" s="55"/>
      <c r="I68" s="55"/>
      <c r="J68" s="55"/>
      <c r="K68" s="74" t="e">
        <f>MIN($K$21:$K$66)</f>
        <v>#DIV/0!</v>
      </c>
      <c r="L68" s="74" t="e">
        <f>MIN($L$21:$L$66)</f>
        <v>#DIV/0!</v>
      </c>
      <c r="M68" s="74" t="e">
        <f>MIN($M$21:$M$66)</f>
        <v>#DIV/0!</v>
      </c>
      <c r="N68" s="74" t="e">
        <f>MIN($N$21:$N$66)</f>
        <v>#DIV/0!</v>
      </c>
      <c r="O68" s="74"/>
      <c r="P68" s="74"/>
      <c r="Q68" s="74"/>
      <c r="R68" s="74"/>
      <c r="S68" s="74" t="e">
        <f>MIN($S$21:$S$66)</f>
        <v>#DIV/0!</v>
      </c>
      <c r="T68" s="74" t="e">
        <f>MIN($T$21:$T$66)</f>
        <v>#DIV/0!</v>
      </c>
      <c r="U68" s="74" t="e">
        <f>MIN($U$21:$U$66)</f>
        <v>#DIV/0!</v>
      </c>
      <c r="V68" s="74" t="e">
        <f>MIN($V$21:$V$66)</f>
        <v>#DIV/0!</v>
      </c>
    </row>
    <row r="69" spans="1:22" x14ac:dyDescent="0.2">
      <c r="A69"/>
      <c r="B69" s="17"/>
      <c r="C69" s="17"/>
      <c r="D69" s="17"/>
      <c r="E69" s="86" t="s">
        <v>96</v>
      </c>
      <c r="F69" s="17"/>
      <c r="G69" s="17"/>
      <c r="H69" s="17"/>
      <c r="I69" s="17"/>
      <c r="J69" s="17"/>
      <c r="K69" s="74" t="e">
        <f>_xlfn.PERCENTILE.INC(K$21:K$66,0.9)</f>
        <v>#DIV/0!</v>
      </c>
      <c r="L69" s="74" t="e">
        <f>_xlfn.PERCENTILE.INC(L$21:L$66,0.9)</f>
        <v>#DIV/0!</v>
      </c>
      <c r="M69" s="74" t="e">
        <f>_xlfn.PERCENTILE.INC(M$21:M$66,0.9)</f>
        <v>#DIV/0!</v>
      </c>
      <c r="N69" s="74" t="e">
        <f>_xlfn.PERCENTILE.INC(N$21:N$66,0.9)</f>
        <v>#DIV/0!</v>
      </c>
      <c r="O69" s="74"/>
      <c r="P69" s="74"/>
      <c r="Q69" s="74"/>
      <c r="R69" s="74"/>
      <c r="S69" s="74" t="e">
        <f>_xlfn.PERCENTILE.INC(S$21:S$66,0.9)</f>
        <v>#DIV/0!</v>
      </c>
      <c r="T69" s="74" t="e">
        <f>_xlfn.PERCENTILE.INC(T$21:T$66,0.9)</f>
        <v>#DIV/0!</v>
      </c>
      <c r="U69" s="74" t="e">
        <f>_xlfn.PERCENTILE.INC(U$21:U$66,0.9)</f>
        <v>#DIV/0!</v>
      </c>
      <c r="V69" s="74" t="e">
        <f>_xlfn.PERCENTILE.INC(V$21:V$66,0.9)</f>
        <v>#DIV/0!</v>
      </c>
    </row>
    <row r="70" spans="1:22" x14ac:dyDescent="0.2">
      <c r="B70" s="17"/>
      <c r="C70" s="17"/>
      <c r="D70" s="17"/>
      <c r="E70" s="86" t="s">
        <v>97</v>
      </c>
      <c r="F70" s="17"/>
      <c r="G70" s="17"/>
      <c r="H70" s="17"/>
      <c r="I70" s="17"/>
      <c r="J70" s="17"/>
      <c r="K70" s="74" t="e">
        <f>_xlfn.PERCENTILE.INC(K$21:K$66,0.8)</f>
        <v>#DIV/0!</v>
      </c>
      <c r="L70" s="74" t="e">
        <f>_xlfn.PERCENTILE.INC(L$21:L$66,0.8)</f>
        <v>#DIV/0!</v>
      </c>
      <c r="M70" s="74" t="e">
        <f>_xlfn.PERCENTILE.INC(M$21:M$66,0.8)</f>
        <v>#DIV/0!</v>
      </c>
      <c r="N70" s="74" t="e">
        <f>_xlfn.PERCENTILE.INC(N$21:N$66,0.8)</f>
        <v>#DIV/0!</v>
      </c>
      <c r="O70" s="74"/>
      <c r="P70" s="74"/>
      <c r="Q70" s="74"/>
      <c r="R70" s="74"/>
      <c r="S70" s="74" t="e">
        <f>_xlfn.PERCENTILE.INC(S$21:S$66,0.8)</f>
        <v>#DIV/0!</v>
      </c>
      <c r="T70" s="74" t="e">
        <f>_xlfn.PERCENTILE.INC(T$21:T$66,0.8)</f>
        <v>#DIV/0!</v>
      </c>
      <c r="U70" s="74" t="e">
        <f>_xlfn.PERCENTILE.INC(U$21:U$66,0.8)</f>
        <v>#DIV/0!</v>
      </c>
      <c r="V70" s="74" t="e">
        <f>_xlfn.PERCENTILE.INC(V$21:V$66,0.8)</f>
        <v>#DIV/0!</v>
      </c>
    </row>
    <row r="71" spans="1:22" x14ac:dyDescent="0.2">
      <c r="B71" s="17"/>
      <c r="C71" s="17"/>
      <c r="D71" s="17"/>
      <c r="E71" s="86" t="s">
        <v>98</v>
      </c>
      <c r="F71" s="17"/>
      <c r="G71" s="17"/>
      <c r="H71" s="17"/>
      <c r="I71" s="17"/>
      <c r="J71" s="17"/>
      <c r="K71" s="74" t="e">
        <f>_xlfn.PERCENTILE.INC(K$21:K$66,0.75)</f>
        <v>#DIV/0!</v>
      </c>
      <c r="L71" s="74" t="e">
        <f>_xlfn.PERCENTILE.INC(L$21:L$66,0.75)</f>
        <v>#DIV/0!</v>
      </c>
      <c r="M71" s="74" t="e">
        <f>_xlfn.PERCENTILE.INC(M$21:M$66,0.75)</f>
        <v>#DIV/0!</v>
      </c>
      <c r="N71" s="74" t="e">
        <f>_xlfn.PERCENTILE.INC(N$21:N$66,0.75)</f>
        <v>#DIV/0!</v>
      </c>
      <c r="O71" s="74"/>
      <c r="P71" s="74"/>
      <c r="Q71" s="74"/>
      <c r="R71" s="74"/>
      <c r="S71" s="74" t="e">
        <f>_xlfn.PERCENTILE.INC(S$21:S$66,0.75)</f>
        <v>#DIV/0!</v>
      </c>
      <c r="T71" s="74" t="e">
        <f>_xlfn.PERCENTILE.INC(T$21:T$66,0.75)</f>
        <v>#DIV/0!</v>
      </c>
      <c r="U71" s="74" t="e">
        <f>_xlfn.PERCENTILE.INC(U$21:U$66,0.75)</f>
        <v>#DIV/0!</v>
      </c>
      <c r="V71" s="74" t="e">
        <f>_xlfn.PERCENTILE.INC(V$21:V$66,0.75)</f>
        <v>#DIV/0!</v>
      </c>
    </row>
    <row r="72" spans="1:22" x14ac:dyDescent="0.2">
      <c r="B72" s="17"/>
      <c r="C72" s="17"/>
      <c r="D72" s="17"/>
      <c r="E72" s="86" t="s">
        <v>99</v>
      </c>
      <c r="F72" s="17"/>
      <c r="G72" s="17"/>
      <c r="H72" s="17"/>
      <c r="I72" s="17"/>
      <c r="J72" s="17"/>
      <c r="K72" s="74" t="e">
        <f>_xlfn.PERCENTILE.INC(K$21:K$66,0.5)</f>
        <v>#DIV/0!</v>
      </c>
      <c r="L72" s="74" t="e">
        <f>_xlfn.PERCENTILE.INC(L$21:L$66,0.5)</f>
        <v>#DIV/0!</v>
      </c>
      <c r="M72" s="74" t="e">
        <f>_xlfn.PERCENTILE.INC(M$21:M$66,0.5)</f>
        <v>#DIV/0!</v>
      </c>
      <c r="N72" s="74" t="e">
        <f>_xlfn.PERCENTILE.INC(N$21:N$66,0.5)</f>
        <v>#DIV/0!</v>
      </c>
      <c r="O72" s="74"/>
      <c r="P72" s="74"/>
      <c r="Q72" s="74"/>
      <c r="R72" s="74"/>
      <c r="S72" s="74" t="e">
        <f>_xlfn.PERCENTILE.INC(S$21:S$66,0.5)</f>
        <v>#DIV/0!</v>
      </c>
      <c r="T72" s="74" t="e">
        <f>_xlfn.PERCENTILE.INC(T$21:T$66,0.5)</f>
        <v>#DIV/0!</v>
      </c>
      <c r="U72" s="74" t="e">
        <f>_xlfn.PERCENTILE.INC(U$21:U$66,0.5)</f>
        <v>#DIV/0!</v>
      </c>
      <c r="V72" s="74" t="e">
        <f>_xlfn.PERCENTILE.INC(V$21:V$66,0.5)</f>
        <v>#DIV/0!</v>
      </c>
    </row>
    <row r="73" spans="1:22" x14ac:dyDescent="0.2">
      <c r="B73" s="17"/>
      <c r="C73" s="17"/>
      <c r="D73" s="17"/>
      <c r="E73" s="86" t="s">
        <v>100</v>
      </c>
      <c r="F73" s="17"/>
      <c r="G73" s="17"/>
      <c r="H73" s="17"/>
      <c r="I73" s="17"/>
      <c r="J73" s="17"/>
      <c r="K73" s="74" t="e">
        <f>_xlfn.PERCENTILE.INC(K$21:K$66,0.25)</f>
        <v>#DIV/0!</v>
      </c>
      <c r="L73" s="74" t="e">
        <f>_xlfn.PERCENTILE.INC(L$21:L$66,0.25)</f>
        <v>#DIV/0!</v>
      </c>
      <c r="M73" s="74" t="e">
        <f>_xlfn.PERCENTILE.INC(M$21:M$66,0.25)</f>
        <v>#DIV/0!</v>
      </c>
      <c r="N73" s="74" t="e">
        <f>_xlfn.PERCENTILE.INC(N$21:N$66,0.25)</f>
        <v>#DIV/0!</v>
      </c>
      <c r="O73" s="74"/>
      <c r="P73" s="74"/>
      <c r="Q73" s="74"/>
      <c r="R73" s="74"/>
      <c r="S73" s="74" t="e">
        <f>_xlfn.PERCENTILE.INC(S$21:S$66,0.25)</f>
        <v>#DIV/0!</v>
      </c>
      <c r="T73" s="74" t="e">
        <f>_xlfn.PERCENTILE.INC(T$21:T$66,0.25)</f>
        <v>#DIV/0!</v>
      </c>
      <c r="U73" s="74" t="e">
        <f>_xlfn.PERCENTILE.INC(U$21:U$66,0.25)</f>
        <v>#DIV/0!</v>
      </c>
      <c r="V73" s="74" t="e">
        <f>_xlfn.PERCENTILE.INC(V$21:V$66,0.25)</f>
        <v>#DIV/0!</v>
      </c>
    </row>
    <row r="74" spans="1:22" x14ac:dyDescent="0.2">
      <c r="B74" s="17"/>
      <c r="C74" s="17"/>
      <c r="D74" s="17"/>
      <c r="E74" s="86" t="s">
        <v>101</v>
      </c>
      <c r="F74" s="17"/>
      <c r="G74" s="17"/>
      <c r="H74" s="17"/>
      <c r="I74" s="17"/>
      <c r="J74" s="17"/>
      <c r="K74" s="74" t="e">
        <f>_xlfn.PERCENTILE.INC(K$21:K$66,0.1)</f>
        <v>#DIV/0!</v>
      </c>
      <c r="L74" s="74" t="e">
        <f>_xlfn.PERCENTILE.INC(L$21:L$66,0.1)</f>
        <v>#DIV/0!</v>
      </c>
      <c r="M74" s="74" t="e">
        <f>_xlfn.PERCENTILE.INC(M$21:M$66,0.1)</f>
        <v>#DIV/0!</v>
      </c>
      <c r="N74" s="74" t="e">
        <f>_xlfn.PERCENTILE.INC(N$21:N$66,0.1)</f>
        <v>#DIV/0!</v>
      </c>
      <c r="O74" s="74"/>
      <c r="P74" s="74"/>
      <c r="Q74" s="74"/>
      <c r="R74" s="74"/>
      <c r="S74" s="74" t="e">
        <f>_xlfn.PERCENTILE.INC(S$21:S$66,0.1)</f>
        <v>#DIV/0!</v>
      </c>
      <c r="T74" s="74" t="e">
        <f>_xlfn.PERCENTILE.INC(T$21:T$66,0.1)</f>
        <v>#DIV/0!</v>
      </c>
      <c r="U74" s="74" t="e">
        <f>_xlfn.PERCENTILE.INC(U$21:U$66,0.1)</f>
        <v>#DIV/0!</v>
      </c>
      <c r="V74" s="74" t="e">
        <f>_xlfn.PERCENTILE.INC(V$21:V$66,0.1)</f>
        <v>#DIV/0!</v>
      </c>
    </row>
  </sheetData>
  <mergeCells count="11">
    <mergeCell ref="B67:E67"/>
    <mergeCell ref="B68:E68"/>
    <mergeCell ref="B2:R2"/>
    <mergeCell ref="B19:V19"/>
    <mergeCell ref="B4:H4"/>
    <mergeCell ref="B13:H13"/>
    <mergeCell ref="O21:O66"/>
    <mergeCell ref="P21:P66"/>
    <mergeCell ref="Q21:Q66"/>
    <mergeCell ref="R21:R66"/>
    <mergeCell ref="K4:Q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9" style="3" customWidth="1"/>
    <col min="3" max="16384" width="9" style="3"/>
  </cols>
  <sheetData>
    <row r="2" spans="2:26" ht="21" customHeight="1" thickBot="1" x14ac:dyDescent="0.25">
      <c r="B2" s="163" t="s">
        <v>183</v>
      </c>
      <c r="C2" s="163"/>
      <c r="D2" s="163"/>
      <c r="E2" s="163"/>
      <c r="F2" s="163"/>
      <c r="G2" s="163"/>
      <c r="H2" s="163"/>
      <c r="I2" s="163"/>
      <c r="J2" s="163"/>
    </row>
    <row r="3" spans="2:26" ht="13.5" thickTop="1" x14ac:dyDescent="0.2"/>
    <row r="5" spans="2:26" ht="27.95" customHeight="1" x14ac:dyDescent="0.2">
      <c r="B5" s="164" t="s">
        <v>239</v>
      </c>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2:26" x14ac:dyDescent="0.2">
      <c r="B6" s="164"/>
      <c r="C6" s="164"/>
      <c r="D6" s="164"/>
      <c r="E6" s="164"/>
      <c r="F6" s="164"/>
      <c r="G6" s="164"/>
      <c r="H6" s="164"/>
      <c r="I6" s="164"/>
      <c r="J6" s="164"/>
      <c r="K6" s="164"/>
      <c r="L6" s="164"/>
      <c r="M6" s="164"/>
      <c r="N6" s="164"/>
      <c r="O6" s="164"/>
      <c r="P6" s="164"/>
      <c r="Q6" s="164"/>
      <c r="R6" s="164"/>
      <c r="S6" s="164"/>
      <c r="T6" s="164"/>
      <c r="U6" s="164"/>
      <c r="V6" s="164"/>
      <c r="W6" s="164"/>
      <c r="X6" s="164"/>
      <c r="Y6" s="164"/>
      <c r="Z6" s="164"/>
    </row>
    <row r="7" spans="2:26" x14ac:dyDescent="0.2">
      <c r="B7" s="164" t="s">
        <v>240</v>
      </c>
      <c r="C7" s="164"/>
      <c r="D7" s="164"/>
      <c r="E7" s="164"/>
      <c r="F7" s="164"/>
      <c r="G7" s="164"/>
      <c r="H7" s="164"/>
      <c r="I7" s="164"/>
      <c r="J7" s="164"/>
      <c r="K7" s="164"/>
      <c r="L7" s="164"/>
      <c r="M7" s="164"/>
      <c r="N7" s="164"/>
      <c r="O7" s="164"/>
      <c r="P7" s="164"/>
      <c r="Q7" s="164"/>
      <c r="R7" s="164"/>
      <c r="S7" s="164"/>
      <c r="T7" s="164"/>
      <c r="U7" s="164"/>
      <c r="V7" s="164"/>
      <c r="W7" s="164"/>
      <c r="X7" s="164"/>
      <c r="Y7" s="164"/>
      <c r="Z7" s="164"/>
    </row>
    <row r="8" spans="2:26" x14ac:dyDescent="0.2">
      <c r="B8" s="164"/>
      <c r="C8" s="164"/>
      <c r="D8" s="164"/>
      <c r="E8" s="164"/>
      <c r="F8" s="164"/>
      <c r="G8" s="164"/>
      <c r="H8" s="164"/>
      <c r="I8" s="164"/>
      <c r="J8" s="164"/>
      <c r="K8" s="164"/>
      <c r="L8" s="164"/>
      <c r="M8" s="164"/>
      <c r="N8" s="164"/>
      <c r="O8" s="164"/>
      <c r="P8" s="164"/>
      <c r="Q8" s="164"/>
      <c r="R8" s="164"/>
      <c r="S8" s="164"/>
      <c r="T8" s="164"/>
      <c r="U8" s="164"/>
      <c r="V8" s="164"/>
      <c r="W8" s="164"/>
      <c r="X8" s="164"/>
      <c r="Y8" s="164"/>
      <c r="Z8" s="164"/>
    </row>
    <row r="9" spans="2:26" x14ac:dyDescent="0.2">
      <c r="B9" s="164" t="s">
        <v>241</v>
      </c>
      <c r="C9" s="164"/>
      <c r="D9" s="164"/>
      <c r="E9" s="164"/>
      <c r="F9" s="164"/>
      <c r="G9" s="164"/>
      <c r="H9" s="164"/>
      <c r="I9" s="164"/>
      <c r="J9" s="164"/>
      <c r="K9" s="164"/>
      <c r="L9" s="164"/>
      <c r="M9" s="164"/>
      <c r="N9" s="164"/>
      <c r="O9" s="164"/>
      <c r="P9" s="164"/>
      <c r="Q9" s="164"/>
      <c r="R9" s="164"/>
      <c r="S9" s="164"/>
      <c r="T9" s="164"/>
      <c r="U9" s="164"/>
      <c r="V9" s="164"/>
      <c r="W9" s="164"/>
      <c r="X9" s="164"/>
      <c r="Y9" s="164"/>
      <c r="Z9" s="164"/>
    </row>
    <row r="10" spans="2:26" x14ac:dyDescent="0.2">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row>
    <row r="11" spans="2:26" ht="27.95" customHeight="1" x14ac:dyDescent="0.2">
      <c r="B11" s="164" t="s">
        <v>252</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row>
    <row r="12" spans="2:26" x14ac:dyDescent="0.2">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row>
    <row r="13" spans="2:26" ht="27.95" customHeight="1" x14ac:dyDescent="0.2">
      <c r="B13" s="164" t="s">
        <v>253</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row>
    <row r="14" spans="2:26" x14ac:dyDescent="0.2">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row>
    <row r="15" spans="2:26" ht="27.95" customHeight="1" x14ac:dyDescent="0.2">
      <c r="B15" s="164" t="s">
        <v>254</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row>
    <row r="16" spans="2:26" x14ac:dyDescent="0.2">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row>
    <row r="17" spans="2:26" ht="27.95" customHeight="1" x14ac:dyDescent="0.2">
      <c r="B17" s="164" t="s">
        <v>242</v>
      </c>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row>
    <row r="18" spans="2:26" x14ac:dyDescent="0.2">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row>
    <row r="19" spans="2:26" ht="27.95" customHeight="1" x14ac:dyDescent="0.2">
      <c r="B19" s="164" t="s">
        <v>243</v>
      </c>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row>
    <row r="20" spans="2:26" x14ac:dyDescent="0.2">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2:26" ht="27.95" customHeight="1" x14ac:dyDescent="0.2">
      <c r="B21" s="164" t="s">
        <v>244</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row>
    <row r="22" spans="2:26" x14ac:dyDescent="0.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row>
    <row r="23" spans="2:26" ht="27.95" customHeight="1" x14ac:dyDescent="0.2">
      <c r="B23" s="164" t="s">
        <v>245</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row>
    <row r="24" spans="2:26" x14ac:dyDescent="0.2">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row>
    <row r="25" spans="2:26" x14ac:dyDescent="0.2">
      <c r="B25" s="164" t="s">
        <v>246</v>
      </c>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row>
    <row r="26" spans="2:26" x14ac:dyDescent="0.2">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row>
    <row r="27" spans="2:26" ht="27.95" customHeight="1" x14ac:dyDescent="0.2">
      <c r="B27" s="164" t="s">
        <v>247</v>
      </c>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row>
  </sheetData>
  <mergeCells count="24">
    <mergeCell ref="B19:Z19"/>
    <mergeCell ref="B20:Z20"/>
    <mergeCell ref="B21:Z21"/>
    <mergeCell ref="B27:Z27"/>
    <mergeCell ref="B22:Z22"/>
    <mergeCell ref="B23:Z23"/>
    <mergeCell ref="B24:Z24"/>
    <mergeCell ref="B25:Z25"/>
    <mergeCell ref="B26:Z26"/>
    <mergeCell ref="B14:Z14"/>
    <mergeCell ref="B15:Z15"/>
    <mergeCell ref="B16:Z16"/>
    <mergeCell ref="B17:Z17"/>
    <mergeCell ref="B18:Z18"/>
    <mergeCell ref="B9:Z9"/>
    <mergeCell ref="B10:Z10"/>
    <mergeCell ref="B11:Z11"/>
    <mergeCell ref="B12:Z12"/>
    <mergeCell ref="B13:Z13"/>
    <mergeCell ref="B2:J2"/>
    <mergeCell ref="B5:Z5"/>
    <mergeCell ref="B6:Z6"/>
    <mergeCell ref="B7:Z7"/>
    <mergeCell ref="B8:Z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28.125" customWidth="1"/>
    <col min="3" max="3" width="25.25" customWidth="1"/>
    <col min="5" max="12" width="15.625" customWidth="1"/>
    <col min="13" max="20" width="12.625" customWidth="1"/>
  </cols>
  <sheetData>
    <row r="2" spans="2:18" ht="21" thickBot="1" x14ac:dyDescent="0.35">
      <c r="B2" s="193" t="s">
        <v>103</v>
      </c>
      <c r="C2" s="193"/>
      <c r="D2" s="193"/>
      <c r="E2" s="193"/>
      <c r="F2" s="193"/>
      <c r="G2" s="193"/>
      <c r="H2" s="193"/>
      <c r="I2" s="193"/>
      <c r="J2" s="193"/>
      <c r="K2" s="193"/>
      <c r="L2" s="193"/>
      <c r="M2" s="193"/>
      <c r="N2" s="193"/>
      <c r="O2" s="193"/>
      <c r="P2" s="193"/>
      <c r="Q2" s="193"/>
      <c r="R2" s="193"/>
    </row>
    <row r="3" spans="2:18" ht="15" customHeight="1" thickTop="1" x14ac:dyDescent="0.2">
      <c r="B3" s="145" t="str">
        <f>Tooltype</f>
        <v>Freshwater calculator tool</v>
      </c>
      <c r="C3" s="3"/>
      <c r="D3" s="3"/>
      <c r="E3" s="3"/>
      <c r="F3" s="3"/>
      <c r="G3" s="3"/>
      <c r="H3" s="3"/>
      <c r="I3" s="3"/>
      <c r="J3" s="3"/>
      <c r="K3" s="3"/>
      <c r="L3" s="3"/>
      <c r="M3" s="3"/>
      <c r="N3" s="3"/>
      <c r="O3" s="3"/>
      <c r="P3" s="3"/>
      <c r="Q3" s="3"/>
      <c r="R3" s="3"/>
    </row>
    <row r="4" spans="2:18" ht="15" customHeight="1" thickBot="1" x14ac:dyDescent="0.35">
      <c r="B4" s="195" t="s">
        <v>49</v>
      </c>
      <c r="C4" s="195"/>
      <c r="D4" s="195"/>
      <c r="E4" s="195"/>
      <c r="F4" s="195"/>
      <c r="G4" s="195"/>
      <c r="H4" s="195"/>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69</v>
      </c>
      <c r="C6" s="3"/>
      <c r="D6" s="3"/>
      <c r="E6" s="3"/>
      <c r="F6" s="3"/>
      <c r="G6" s="53">
        <v>2.5</v>
      </c>
      <c r="H6" s="28" t="s">
        <v>182</v>
      </c>
      <c r="I6" s="3"/>
      <c r="J6" s="3"/>
      <c r="K6" s="3"/>
      <c r="L6" s="3"/>
      <c r="M6" s="3"/>
      <c r="N6" s="3"/>
      <c r="O6" s="3"/>
      <c r="P6" s="3"/>
      <c r="Q6" s="3"/>
      <c r="R6" s="3"/>
    </row>
    <row r="7" spans="2:18" ht="15" customHeight="1" x14ac:dyDescent="0.2">
      <c r="B7" s="3" t="s">
        <v>54</v>
      </c>
      <c r="C7" s="3"/>
      <c r="D7" s="3"/>
      <c r="E7" s="3"/>
      <c r="F7" s="3"/>
      <c r="G7" s="3">
        <f>Z_Average_biocide_release_over_the_lifetime_of_the_paint_M</f>
        <v>0</v>
      </c>
      <c r="H7" s="28" t="s">
        <v>182</v>
      </c>
      <c r="I7" s="3"/>
      <c r="J7" s="3"/>
      <c r="K7" s="3"/>
      <c r="L7" s="3"/>
      <c r="M7" s="3"/>
      <c r="N7" s="3"/>
      <c r="O7" s="3"/>
      <c r="P7" s="3"/>
      <c r="Q7" s="3"/>
      <c r="R7" s="3"/>
    </row>
    <row r="8" spans="2:18" ht="15" customHeight="1" x14ac:dyDescent="0.2">
      <c r="B8" s="3" t="s">
        <v>55</v>
      </c>
      <c r="C8" s="3"/>
      <c r="D8" s="3"/>
      <c r="E8" s="3"/>
      <c r="F8" s="3"/>
      <c r="G8" s="37" t="e">
        <f>Z_Average_biocide_release_over_the_lifetime_of_the_paint_C</f>
        <v>#DIV/0!</v>
      </c>
      <c r="H8" s="28" t="s">
        <v>182</v>
      </c>
      <c r="I8" s="3"/>
      <c r="J8" s="3"/>
      <c r="K8" s="3"/>
      <c r="L8" s="3"/>
      <c r="M8" s="3"/>
      <c r="N8" s="3"/>
      <c r="O8" s="3"/>
      <c r="P8" s="3"/>
      <c r="Q8" s="3"/>
      <c r="R8" s="3"/>
    </row>
    <row r="9" spans="2:18" ht="15" customHeight="1" x14ac:dyDescent="0.2">
      <c r="B9" s="3" t="s">
        <v>53</v>
      </c>
      <c r="C9" s="3"/>
      <c r="D9" s="3"/>
      <c r="E9" s="3"/>
      <c r="F9" s="3"/>
      <c r="G9" s="40">
        <f>IF(ISBLANK(Z_Average_biocide_release_over_the_lifetime_of_the_paint_M),1,0)</f>
        <v>1</v>
      </c>
      <c r="H9" s="28"/>
      <c r="I9" s="3"/>
      <c r="J9" s="3"/>
      <c r="K9" s="3"/>
      <c r="L9" s="3"/>
      <c r="M9" s="3"/>
      <c r="N9" s="3"/>
      <c r="O9" s="3"/>
      <c r="P9" s="3"/>
      <c r="Q9" s="3"/>
      <c r="R9" s="3"/>
    </row>
    <row r="10" spans="2:18" ht="15" customHeight="1" x14ac:dyDescent="0.2">
      <c r="B10" s="3" t="s">
        <v>52</v>
      </c>
      <c r="C10" s="3"/>
      <c r="D10" s="3"/>
      <c r="E10" s="3"/>
      <c r="F10" s="3"/>
      <c r="G10" s="37" t="e">
        <f>IF((G9&lt;1),Z_Average_biocide_release_over_the_lifetime_of_the_paint_M,Z_Average_biocide_release_over_the_lifetime_of_the_paint_C)</f>
        <v>#DIV/0!</v>
      </c>
      <c r="H10" s="28" t="s">
        <v>182</v>
      </c>
      <c r="I10" s="3"/>
      <c r="J10" s="3"/>
      <c r="K10" s="3"/>
      <c r="L10" s="3"/>
      <c r="M10" s="3"/>
      <c r="N10" s="3"/>
      <c r="O10" s="3"/>
      <c r="P10" s="3"/>
      <c r="Q10" s="3"/>
      <c r="R10" s="3"/>
    </row>
    <row r="11" spans="2:18" ht="15" customHeight="1" x14ac:dyDescent="0.2">
      <c r="B11" s="3" t="s">
        <v>50</v>
      </c>
      <c r="C11" s="3"/>
      <c r="D11" s="3"/>
      <c r="E11" s="3"/>
      <c r="F11" s="3"/>
      <c r="G11" s="37" t="e">
        <f>G10/G6</f>
        <v>#DIV/0!</v>
      </c>
      <c r="H11" s="3" t="s">
        <v>2</v>
      </c>
      <c r="I11" s="3"/>
      <c r="J11" s="3"/>
      <c r="K11" s="3"/>
      <c r="L11" s="3"/>
      <c r="M11" s="3"/>
      <c r="N11" s="3"/>
      <c r="O11" s="3"/>
      <c r="P11" s="3"/>
      <c r="Q11" s="3"/>
      <c r="R11" s="3"/>
    </row>
    <row r="12" spans="2:18" ht="15" customHeight="1" x14ac:dyDescent="0.2">
      <c r="B12" s="3"/>
      <c r="C12" s="3"/>
      <c r="D12" s="3"/>
      <c r="E12" s="3"/>
      <c r="F12" s="3"/>
      <c r="G12" s="37"/>
      <c r="H12" s="3"/>
      <c r="I12" s="3"/>
      <c r="J12" s="3"/>
      <c r="K12" s="3"/>
      <c r="L12" s="3"/>
      <c r="M12" s="3"/>
      <c r="N12" s="3"/>
      <c r="O12" s="3"/>
      <c r="P12" s="3"/>
      <c r="Q12" s="3"/>
      <c r="R12" s="3"/>
    </row>
    <row r="13" spans="2:18" ht="15" customHeight="1" thickBot="1" x14ac:dyDescent="0.35">
      <c r="B13" s="195" t="s">
        <v>68</v>
      </c>
      <c r="C13" s="195"/>
      <c r="D13" s="195"/>
      <c r="E13" s="195"/>
      <c r="F13" s="195"/>
      <c r="G13" s="195"/>
      <c r="H13" s="195"/>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75</v>
      </c>
      <c r="C15" s="3"/>
      <c r="D15" s="3"/>
      <c r="E15" s="3"/>
      <c r="F15" s="3"/>
      <c r="G15" s="157">
        <v>0.9</v>
      </c>
      <c r="H15" s="3"/>
      <c r="I15" s="3"/>
      <c r="J15" s="3"/>
      <c r="K15" s="3"/>
      <c r="L15" s="3"/>
      <c r="M15" s="3"/>
      <c r="N15" s="3"/>
      <c r="O15" s="3"/>
      <c r="P15" s="3"/>
      <c r="Q15" s="3"/>
      <c r="R15" s="3"/>
    </row>
    <row r="16" spans="2:18" ht="15" customHeight="1" x14ac:dyDescent="0.2">
      <c r="B16" s="3" t="s">
        <v>70</v>
      </c>
      <c r="C16" s="3"/>
      <c r="D16" s="3"/>
      <c r="E16" s="3"/>
      <c r="F16" s="3"/>
      <c r="G16" s="37">
        <f>Application_Factor</f>
        <v>0.9</v>
      </c>
      <c r="H16" s="3"/>
      <c r="I16" s="3"/>
      <c r="J16" s="3"/>
      <c r="K16" s="3"/>
      <c r="L16" s="3"/>
      <c r="M16" s="3"/>
      <c r="N16" s="3"/>
      <c r="O16" s="3"/>
      <c r="P16" s="3"/>
      <c r="Q16" s="3"/>
      <c r="R16" s="3"/>
    </row>
    <row r="17" spans="2:22" ht="15" customHeight="1" x14ac:dyDescent="0.2">
      <c r="B17" s="3" t="s">
        <v>50</v>
      </c>
      <c r="C17" s="3"/>
      <c r="D17" s="3"/>
      <c r="E17" s="3"/>
      <c r="F17" s="3"/>
      <c r="G17" s="37">
        <f>Application_Conversion_Factor</f>
        <v>1</v>
      </c>
      <c r="H17" s="51"/>
      <c r="I17" s="3"/>
      <c r="J17" s="3"/>
      <c r="K17" s="3"/>
      <c r="L17" s="3"/>
      <c r="M17" s="3"/>
      <c r="N17" s="3"/>
      <c r="O17" s="3"/>
      <c r="P17" s="3"/>
      <c r="Q17" s="3"/>
      <c r="R17" s="3"/>
    </row>
    <row r="18" spans="2:22" ht="15" customHeight="1" x14ac:dyDescent="0.2"/>
    <row r="19" spans="2:22" ht="15" x14ac:dyDescent="0.2">
      <c r="B19" s="89" t="s">
        <v>105</v>
      </c>
      <c r="C19" s="89"/>
      <c r="D19" s="89"/>
      <c r="E19" s="89"/>
      <c r="F19" s="89"/>
      <c r="G19" s="89"/>
      <c r="H19" s="89"/>
      <c r="I19" s="89"/>
      <c r="J19" s="89"/>
      <c r="K19" s="89"/>
      <c r="L19" s="89"/>
      <c r="M19" s="89"/>
      <c r="N19" s="89"/>
      <c r="O19" s="89"/>
      <c r="P19" s="89"/>
      <c r="Q19" s="89"/>
      <c r="R19" s="89"/>
      <c r="S19" s="89"/>
      <c r="T19" s="89"/>
      <c r="U19" s="88"/>
      <c r="V19" s="88"/>
    </row>
    <row r="20" spans="2:22" ht="95.1" customHeight="1" x14ac:dyDescent="0.2">
      <c r="B20" s="98" t="s">
        <v>9</v>
      </c>
      <c r="C20" s="98" t="s">
        <v>11</v>
      </c>
      <c r="D20" s="97" t="s">
        <v>76</v>
      </c>
      <c r="E20" s="13" t="s">
        <v>227</v>
      </c>
      <c r="F20" s="13" t="s">
        <v>228</v>
      </c>
      <c r="G20" s="13" t="s">
        <v>188</v>
      </c>
      <c r="H20" s="13" t="s">
        <v>229</v>
      </c>
      <c r="I20" s="13" t="s">
        <v>176</v>
      </c>
      <c r="J20" s="13" t="s">
        <v>230</v>
      </c>
      <c r="K20" s="13" t="s">
        <v>177</v>
      </c>
      <c r="L20" s="13" t="s">
        <v>231</v>
      </c>
      <c r="M20" s="12" t="s">
        <v>181</v>
      </c>
      <c r="N20" s="12" t="s">
        <v>180</v>
      </c>
      <c r="O20" s="12" t="s">
        <v>179</v>
      </c>
      <c r="P20" s="12" t="s">
        <v>189</v>
      </c>
      <c r="Q20" s="97" t="s">
        <v>60</v>
      </c>
      <c r="R20" s="97" t="s">
        <v>61</v>
      </c>
      <c r="S20" s="97" t="s">
        <v>62</v>
      </c>
      <c r="T20" s="97" t="s">
        <v>63</v>
      </c>
    </row>
    <row r="21" spans="2:22" ht="15" customHeight="1" x14ac:dyDescent="0.2">
      <c r="B21" s="99" t="s">
        <v>172</v>
      </c>
      <c r="C21" s="99" t="str">
        <f>Z_Compound_Name</f>
        <v>Zineb</v>
      </c>
      <c r="D21" s="56">
        <v>100</v>
      </c>
      <c r="E21" s="100">
        <v>8.8000187743455197E-3</v>
      </c>
      <c r="F21" s="100">
        <v>2.5142910861177399E-4</v>
      </c>
      <c r="G21" s="100">
        <v>3.9366354892204497E-6</v>
      </c>
      <c r="H21" s="100">
        <v>1.12475300676855E-7</v>
      </c>
      <c r="I21" s="101" t="e">
        <f t="shared" ref="I21:L22" si="0">((E21/100)*$D21)*(Z_Leaching_Conversion_Factor*Application_Conversion_Factor)+Z_Background_SW_Freshwater</f>
        <v>#DIV/0!</v>
      </c>
      <c r="J21" s="101" t="e">
        <f t="shared" si="0"/>
        <v>#DIV/0!</v>
      </c>
      <c r="K21" s="101" t="e">
        <f t="shared" si="0"/>
        <v>#DIV/0!</v>
      </c>
      <c r="L21" s="101" t="e">
        <f t="shared" si="0"/>
        <v>#DIV/0!</v>
      </c>
      <c r="M21" s="123">
        <f>Z_PNEC_Aquatic_Inside</f>
        <v>0.219</v>
      </c>
      <c r="N21" s="123">
        <f>Z_PNEC_Sediment_Inside</f>
        <v>4.5499999999999999E-2</v>
      </c>
      <c r="O21" s="123">
        <f>Z_PNEC_Aquatic_Surrounding</f>
        <v>0.219</v>
      </c>
      <c r="P21" s="123">
        <f>Z_PNEC_Sediment_Surrounding</f>
        <v>4.5499999999999999E-2</v>
      </c>
      <c r="Q21" s="101" t="e">
        <f>I21/Z_PNEC_Aquatic_Inside</f>
        <v>#DIV/0!</v>
      </c>
      <c r="R21" s="101" t="e">
        <f>J21/Z_PNEC_Sediment_Inside</f>
        <v>#DIV/0!</v>
      </c>
      <c r="S21" s="101" t="e">
        <f>K21/Z_PNEC_Aquatic_Surrounding</f>
        <v>#DIV/0!</v>
      </c>
      <c r="T21" s="101" t="e">
        <f>L21/Z_PNEC_Sediment_Surrounding</f>
        <v>#DIV/0!</v>
      </c>
    </row>
    <row r="22" spans="2:22" ht="15" customHeight="1" x14ac:dyDescent="0.2">
      <c r="B22" s="99" t="s">
        <v>173</v>
      </c>
      <c r="C22" s="99" t="str">
        <f>Z_Compound_Name</f>
        <v>Zineb</v>
      </c>
      <c r="D22" s="56">
        <v>100</v>
      </c>
      <c r="E22" s="100">
        <v>2.68786405958235E-2</v>
      </c>
      <c r="F22" s="100">
        <v>1.7807098454795799E-3</v>
      </c>
      <c r="G22" s="100">
        <v>1.56500360027347E-4</v>
      </c>
      <c r="H22" s="100">
        <v>1.03681482468495E-5</v>
      </c>
      <c r="I22" s="101" t="e">
        <f t="shared" si="0"/>
        <v>#DIV/0!</v>
      </c>
      <c r="J22" s="101" t="e">
        <f t="shared" si="0"/>
        <v>#DIV/0!</v>
      </c>
      <c r="K22" s="101" t="e">
        <f t="shared" si="0"/>
        <v>#DIV/0!</v>
      </c>
      <c r="L22" s="101" t="e">
        <f t="shared" si="0"/>
        <v>#DIV/0!</v>
      </c>
      <c r="M22" s="123">
        <f>Z_PNEC_Aquatic_Inside</f>
        <v>0.219</v>
      </c>
      <c r="N22" s="123">
        <f>Z_PNEC_Sediment_Inside</f>
        <v>4.5499999999999999E-2</v>
      </c>
      <c r="O22" s="123">
        <f>Z_PNEC_Aquatic_Surrounding</f>
        <v>0.219</v>
      </c>
      <c r="P22" s="123">
        <f>Z_PNEC_Sediment_Surrounding</f>
        <v>4.5499999999999999E-2</v>
      </c>
      <c r="Q22" s="101" t="e">
        <f>I22/Z_PNEC_Aquatic_Inside</f>
        <v>#DIV/0!</v>
      </c>
      <c r="R22" s="101" t="e">
        <f>J22/Z_PNEC_Sediment_Inside</f>
        <v>#DIV/0!</v>
      </c>
      <c r="S22" s="101" t="e">
        <f>K22/Z_PNEC_Aquatic_Surrounding</f>
        <v>#DIV/0!</v>
      </c>
      <c r="T22" s="101" t="e">
        <f>L22/Z_PNEC_Sediment_Surrounding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V74"/>
  <sheetViews>
    <sheetView zoomScale="90" zoomScaleNormal="90" workbookViewId="0"/>
  </sheetViews>
  <sheetFormatPr defaultRowHeight="12.75" x14ac:dyDescent="0.2"/>
  <cols>
    <col min="1" max="1" width="9" style="3"/>
    <col min="2" max="2" width="21.125" style="3" customWidth="1"/>
    <col min="3" max="3" width="3.875" style="3" bestFit="1" customWidth="1"/>
    <col min="4" max="4" width="5.75" style="3" bestFit="1"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customHeight="1" thickBot="1" x14ac:dyDescent="0.35">
      <c r="B2" s="193" t="s">
        <v>103</v>
      </c>
      <c r="C2" s="193"/>
      <c r="D2" s="193"/>
      <c r="E2" s="193"/>
      <c r="F2" s="193"/>
      <c r="G2" s="193"/>
      <c r="H2" s="193"/>
      <c r="I2" s="193"/>
      <c r="J2" s="193"/>
      <c r="K2" s="193"/>
      <c r="L2" s="193"/>
      <c r="M2" s="193"/>
      <c r="N2" s="193"/>
      <c r="O2" s="193"/>
      <c r="P2" s="193"/>
      <c r="Q2" s="193"/>
      <c r="R2" s="193"/>
    </row>
    <row r="3" spans="2:18" ht="15" customHeight="1" thickTop="1" x14ac:dyDescent="0.2">
      <c r="B3" s="145" t="str">
        <f>Tooltype</f>
        <v>Freshwater calculator tool</v>
      </c>
    </row>
    <row r="4" spans="2:18" ht="15" customHeight="1" thickBot="1" x14ac:dyDescent="0.35">
      <c r="B4" s="195" t="s">
        <v>49</v>
      </c>
      <c r="C4" s="195"/>
      <c r="D4" s="195"/>
      <c r="E4" s="195"/>
      <c r="F4" s="195"/>
      <c r="G4" s="195"/>
      <c r="H4" s="195"/>
      <c r="K4" s="195" t="s">
        <v>249</v>
      </c>
      <c r="L4" s="195"/>
      <c r="M4" s="195"/>
      <c r="N4" s="195"/>
      <c r="O4" s="195"/>
      <c r="P4" s="195"/>
      <c r="Q4" s="195"/>
    </row>
    <row r="5" spans="2:18" ht="15" customHeight="1" thickTop="1" x14ac:dyDescent="0.2"/>
    <row r="6" spans="2:18" ht="15" customHeight="1" x14ac:dyDescent="0.2">
      <c r="B6" s="3" t="s">
        <v>69</v>
      </c>
      <c r="G6" s="53">
        <v>2.5</v>
      </c>
      <c r="H6" s="28" t="s">
        <v>166</v>
      </c>
      <c r="K6" s="6" t="s">
        <v>251</v>
      </c>
      <c r="P6" s="57">
        <f>WSA_OECD_default</f>
        <v>30.7</v>
      </c>
      <c r="Q6" s="6" t="s">
        <v>226</v>
      </c>
    </row>
    <row r="7" spans="2:18" ht="15" customHeight="1" x14ac:dyDescent="0.2">
      <c r="B7" s="3" t="s">
        <v>54</v>
      </c>
      <c r="G7" s="3">
        <f>D_Average_biocide_release_over_the_lifetime_of_the_paint_M</f>
        <v>0</v>
      </c>
      <c r="H7" s="28" t="s">
        <v>166</v>
      </c>
      <c r="K7" s="6" t="s">
        <v>250</v>
      </c>
      <c r="P7" s="156">
        <f>WSA_freshwater</f>
        <v>22</v>
      </c>
      <c r="Q7" s="6" t="s">
        <v>226</v>
      </c>
    </row>
    <row r="8" spans="2:18" ht="15" customHeight="1" x14ac:dyDescent="0.2">
      <c r="B8" s="3" t="s">
        <v>55</v>
      </c>
      <c r="G8" s="37" t="e">
        <f>D_Average_biocide_release_over_the_lifetime_of_the_paint_C</f>
        <v>#DIV/0!</v>
      </c>
      <c r="H8" s="28" t="s">
        <v>166</v>
      </c>
      <c r="K8" s="3" t="s">
        <v>50</v>
      </c>
      <c r="P8" s="37">
        <f>WSA_ConversionFactor</f>
        <v>0.71661237785016285</v>
      </c>
      <c r="Q8" s="109" t="s">
        <v>2</v>
      </c>
    </row>
    <row r="9" spans="2:18" ht="15" customHeight="1" x14ac:dyDescent="0.2">
      <c r="B9" s="3" t="s">
        <v>53</v>
      </c>
      <c r="G9" s="40">
        <f>IF(ISBLANK(D_Average_biocide_release_over_the_lifetime_of_the_paint_M),1,0)</f>
        <v>1</v>
      </c>
      <c r="H9" s="28"/>
    </row>
    <row r="10" spans="2:18" ht="15" customHeight="1" x14ac:dyDescent="0.2">
      <c r="B10" s="3" t="s">
        <v>52</v>
      </c>
      <c r="G10" s="37" t="e">
        <f>IF((G9&lt;1),D_Average_biocide_release_over_the_lifetime_of_the_paint_M,D_Average_biocide_release_over_the_lifetime_of_the_paint_C)</f>
        <v>#DIV/0!</v>
      </c>
      <c r="H10" s="28" t="s">
        <v>166</v>
      </c>
    </row>
    <row r="11" spans="2:18" ht="15" customHeight="1" x14ac:dyDescent="0.2">
      <c r="B11" s="3" t="s">
        <v>50</v>
      </c>
      <c r="G11" s="37" t="e">
        <f>G10/G6</f>
        <v>#DIV/0!</v>
      </c>
      <c r="H11" s="3" t="s">
        <v>2</v>
      </c>
    </row>
    <row r="12" spans="2:18" ht="15" customHeight="1" x14ac:dyDescent="0.2">
      <c r="G12" s="37"/>
    </row>
    <row r="13" spans="2:18" ht="15" customHeight="1" thickBot="1" x14ac:dyDescent="0.35">
      <c r="B13" s="195" t="s">
        <v>68</v>
      </c>
      <c r="C13" s="195"/>
      <c r="D13" s="195"/>
      <c r="E13" s="195"/>
      <c r="F13" s="195"/>
      <c r="G13" s="195"/>
      <c r="H13" s="195"/>
    </row>
    <row r="14" spans="2:18" ht="15" customHeight="1" thickTop="1" x14ac:dyDescent="0.2"/>
    <row r="15" spans="2:18" ht="15" customHeight="1" x14ac:dyDescent="0.2">
      <c r="B15" s="3" t="s">
        <v>75</v>
      </c>
      <c r="G15" s="157">
        <v>0.9</v>
      </c>
    </row>
    <row r="16" spans="2:18" ht="15" customHeight="1" x14ac:dyDescent="0.2">
      <c r="B16" s="3" t="s">
        <v>70</v>
      </c>
      <c r="G16" s="37">
        <f>Application_Factor</f>
        <v>0.9</v>
      </c>
    </row>
    <row r="17" spans="2:22" ht="15" customHeight="1" x14ac:dyDescent="0.2">
      <c r="B17" s="3" t="s">
        <v>50</v>
      </c>
      <c r="G17" s="37">
        <f>Application_Conversion_Factor</f>
        <v>1</v>
      </c>
      <c r="H17" s="51"/>
    </row>
    <row r="18" spans="2:22" ht="15" customHeight="1" x14ac:dyDescent="0.2"/>
    <row r="19" spans="2:22" ht="15" x14ac:dyDescent="0.2">
      <c r="B19" s="190" t="s">
        <v>83</v>
      </c>
      <c r="C19" s="190"/>
      <c r="D19" s="190"/>
      <c r="E19" s="190"/>
      <c r="F19" s="190"/>
      <c r="G19" s="190"/>
      <c r="H19" s="190"/>
      <c r="I19" s="190"/>
      <c r="J19" s="190"/>
      <c r="K19" s="190"/>
      <c r="L19" s="190"/>
      <c r="M19" s="190"/>
      <c r="N19" s="190"/>
      <c r="O19" s="190"/>
      <c r="P19" s="190"/>
      <c r="Q19" s="190"/>
      <c r="R19" s="190"/>
      <c r="S19" s="190"/>
      <c r="T19" s="190"/>
      <c r="U19" s="190"/>
      <c r="V19" s="190"/>
    </row>
    <row r="20" spans="2:22" ht="95.1" customHeight="1" x14ac:dyDescent="0.2">
      <c r="B20" s="114" t="s">
        <v>9</v>
      </c>
      <c r="C20" s="93" t="s">
        <v>187</v>
      </c>
      <c r="D20" s="93" t="s">
        <v>186</v>
      </c>
      <c r="E20" s="114" t="s">
        <v>11</v>
      </c>
      <c r="F20" s="12" t="s">
        <v>76</v>
      </c>
      <c r="G20" s="13" t="s">
        <v>227</v>
      </c>
      <c r="H20" s="13" t="s">
        <v>228</v>
      </c>
      <c r="I20" s="13" t="s">
        <v>188</v>
      </c>
      <c r="J20" s="13" t="s">
        <v>229</v>
      </c>
      <c r="K20" s="13" t="s">
        <v>176</v>
      </c>
      <c r="L20" s="13" t="s">
        <v>230</v>
      </c>
      <c r="M20" s="13" t="s">
        <v>177</v>
      </c>
      <c r="N20" s="13" t="s">
        <v>231</v>
      </c>
      <c r="O20" s="12" t="s">
        <v>181</v>
      </c>
      <c r="P20" s="12" t="s">
        <v>180</v>
      </c>
      <c r="Q20" s="12" t="s">
        <v>179</v>
      </c>
      <c r="R20" s="12" t="s">
        <v>189</v>
      </c>
      <c r="S20" s="12" t="s">
        <v>60</v>
      </c>
      <c r="T20" s="12" t="s">
        <v>61</v>
      </c>
      <c r="U20" s="12" t="s">
        <v>62</v>
      </c>
      <c r="V20" s="12" t="s">
        <v>63</v>
      </c>
    </row>
    <row r="21" spans="2:22" ht="14.25" customHeight="1" x14ac:dyDescent="0.2">
      <c r="B21" s="96" t="s">
        <v>106</v>
      </c>
      <c r="C21" s="118" t="s">
        <v>107</v>
      </c>
      <c r="D21" s="118">
        <v>1</v>
      </c>
      <c r="E21" s="96" t="str">
        <f t="shared" ref="E21:E66" si="0">D_Compound_Name</f>
        <v>DIDT</v>
      </c>
      <c r="F21" s="56">
        <v>220</v>
      </c>
      <c r="G21" s="100">
        <v>10.1594461679459</v>
      </c>
      <c r="H21" s="100">
        <v>3.85195111273788E-3</v>
      </c>
      <c r="I21" s="100">
        <v>9.8088525915348591E-4</v>
      </c>
      <c r="J21" s="100">
        <v>3.71902365583487E-7</v>
      </c>
      <c r="K21" s="54" t="e">
        <f t="shared" ref="K21:K66" si="1">((($F21/100)*$G21)*D_Leaching_Conversion_Factor*Application_Conversion_Factor*WSA_ConversionFactor)+D_Background_SW_Freshwater</f>
        <v>#DIV/0!</v>
      </c>
      <c r="L21" s="54" t="e">
        <f t="shared" ref="L21:L66" si="2">((($F21/100)*$H21)*D_Leaching_Conversion_Factor*Application_Conversion_Factor*WSA_ConversionFactor)+D_Background_Sed_Freshwater</f>
        <v>#DIV/0!</v>
      </c>
      <c r="M21" s="54" t="e">
        <f t="shared" ref="M21:M66" si="3">((($F21/100)*$I21)*D_Leaching_Conversion_Factor*Application_Conversion_Factor*WSA_ConversionFactor)+D_Background_SW_Freshwater</f>
        <v>#DIV/0!</v>
      </c>
      <c r="N21" s="54" t="e">
        <f t="shared" ref="N21:N66" si="4">((($F21/100)*$J21)*D_Leaching_Conversion_Factor*Application_Conversion_Factor*WSA_ConversionFactor)+D_Background_Sed_Freshwater</f>
        <v>#DIV/0!</v>
      </c>
      <c r="O21" s="197">
        <f>D_PNEC_Aquatic_Inside</f>
        <v>0.18</v>
      </c>
      <c r="P21" s="197">
        <f>D_PNEC_Sediment_Inside</f>
        <v>1.3699999999999999E-3</v>
      </c>
      <c r="Q21" s="197">
        <f>D_PNEC_Aquatic_Surrounding</f>
        <v>0.18</v>
      </c>
      <c r="R21" s="197">
        <f>D_PNEC_Sediment_Surrounding</f>
        <v>1.3699999999999999E-3</v>
      </c>
      <c r="S21" s="73" t="e">
        <f t="shared" ref="S21:S66" si="5">$K21/D_PNEC_Aquatic_Inside</f>
        <v>#DIV/0!</v>
      </c>
      <c r="T21" s="73" t="e">
        <f t="shared" ref="T21:T66" si="6">$L21/D_PNEC_Sediment_Inside</f>
        <v>#DIV/0!</v>
      </c>
      <c r="U21" s="73" t="e">
        <f t="shared" ref="U21:U66" si="7">$M21/D_PNEC_Aquatic_Surrounding</f>
        <v>#DIV/0!</v>
      </c>
      <c r="V21" s="73" t="e">
        <f t="shared" ref="V21:V66" si="8">$N21/D_PNEC_Sediment_Surrounding</f>
        <v>#DIV/0!</v>
      </c>
    </row>
    <row r="22" spans="2:22" ht="14.25" customHeight="1" x14ac:dyDescent="0.2">
      <c r="B22" s="96" t="s">
        <v>108</v>
      </c>
      <c r="C22" s="118" t="s">
        <v>107</v>
      </c>
      <c r="D22" s="118">
        <v>2</v>
      </c>
      <c r="E22" s="96" t="str">
        <f t="shared" si="0"/>
        <v>DIDT</v>
      </c>
      <c r="F22" s="56">
        <v>252</v>
      </c>
      <c r="G22" s="100">
        <v>9.7648861503601108</v>
      </c>
      <c r="H22" s="100">
        <v>3.7023538083303699E-3</v>
      </c>
      <c r="I22" s="100">
        <v>1.42399342112791E-3</v>
      </c>
      <c r="J22" s="100">
        <v>5.3990669988420399E-7</v>
      </c>
      <c r="K22" s="54" t="e">
        <f t="shared" si="1"/>
        <v>#DIV/0!</v>
      </c>
      <c r="L22" s="54" t="e">
        <f t="shared" si="2"/>
        <v>#DIV/0!</v>
      </c>
      <c r="M22" s="54" t="e">
        <f t="shared" si="3"/>
        <v>#DIV/0!</v>
      </c>
      <c r="N22" s="54" t="e">
        <f t="shared" si="4"/>
        <v>#DIV/0!</v>
      </c>
      <c r="O22" s="197"/>
      <c r="P22" s="197"/>
      <c r="Q22" s="197"/>
      <c r="R22" s="197"/>
      <c r="S22" s="73" t="e">
        <f t="shared" si="5"/>
        <v>#DIV/0!</v>
      </c>
      <c r="T22" s="73" t="e">
        <f t="shared" si="6"/>
        <v>#DIV/0!</v>
      </c>
      <c r="U22" s="73" t="e">
        <f t="shared" si="7"/>
        <v>#DIV/0!</v>
      </c>
      <c r="V22" s="73" t="e">
        <f t="shared" si="8"/>
        <v>#DIV/0!</v>
      </c>
    </row>
    <row r="23" spans="2:22" ht="14.25" customHeight="1" x14ac:dyDescent="0.2">
      <c r="B23" s="96" t="s">
        <v>109</v>
      </c>
      <c r="C23" s="118" t="s">
        <v>107</v>
      </c>
      <c r="D23" s="118">
        <v>3</v>
      </c>
      <c r="E23" s="96" t="str">
        <f t="shared" si="0"/>
        <v>DIDT</v>
      </c>
      <c r="F23" s="56">
        <v>330</v>
      </c>
      <c r="G23" s="100">
        <v>7.1660998713970203</v>
      </c>
      <c r="H23" s="100">
        <v>1.1411502759438001E-2</v>
      </c>
      <c r="I23" s="100">
        <v>2.9102837272694201E-3</v>
      </c>
      <c r="J23" s="100">
        <v>4.6344192099804599E-6</v>
      </c>
      <c r="K23" s="54" t="e">
        <f t="shared" si="1"/>
        <v>#DIV/0!</v>
      </c>
      <c r="L23" s="54" t="e">
        <f t="shared" si="2"/>
        <v>#DIV/0!</v>
      </c>
      <c r="M23" s="54" t="e">
        <f t="shared" si="3"/>
        <v>#DIV/0!</v>
      </c>
      <c r="N23" s="54" t="e">
        <f t="shared" si="4"/>
        <v>#DIV/0!</v>
      </c>
      <c r="O23" s="197"/>
      <c r="P23" s="197"/>
      <c r="Q23" s="197"/>
      <c r="R23" s="197"/>
      <c r="S23" s="73" t="e">
        <f t="shared" si="5"/>
        <v>#DIV/0!</v>
      </c>
      <c r="T23" s="73" t="e">
        <f t="shared" si="6"/>
        <v>#DIV/0!</v>
      </c>
      <c r="U23" s="73" t="e">
        <f t="shared" si="7"/>
        <v>#DIV/0!</v>
      </c>
      <c r="V23" s="73" t="e">
        <f t="shared" si="8"/>
        <v>#DIV/0!</v>
      </c>
    </row>
    <row r="24" spans="2:22" ht="14.25" customHeight="1" x14ac:dyDescent="0.2">
      <c r="B24" s="96" t="s">
        <v>110</v>
      </c>
      <c r="C24" s="118" t="s">
        <v>107</v>
      </c>
      <c r="D24" s="118">
        <v>4</v>
      </c>
      <c r="E24" s="96" t="str">
        <f t="shared" si="0"/>
        <v>DIDT</v>
      </c>
      <c r="F24" s="56">
        <v>577</v>
      </c>
      <c r="G24" s="100">
        <v>5.1611784124374402</v>
      </c>
      <c r="H24" s="100">
        <v>8.2188083929941001E-3</v>
      </c>
      <c r="I24" s="100">
        <v>1.6932441552368501E-3</v>
      </c>
      <c r="J24" s="100">
        <v>2.6963705178317798E-6</v>
      </c>
      <c r="K24" s="54" t="e">
        <f t="shared" si="1"/>
        <v>#DIV/0!</v>
      </c>
      <c r="L24" s="54" t="e">
        <f t="shared" si="2"/>
        <v>#DIV/0!</v>
      </c>
      <c r="M24" s="54" t="e">
        <f t="shared" si="3"/>
        <v>#DIV/0!</v>
      </c>
      <c r="N24" s="54" t="e">
        <f t="shared" si="4"/>
        <v>#DIV/0!</v>
      </c>
      <c r="O24" s="197"/>
      <c r="P24" s="197"/>
      <c r="Q24" s="197"/>
      <c r="R24" s="197"/>
      <c r="S24" s="73" t="e">
        <f t="shared" si="5"/>
        <v>#DIV/0!</v>
      </c>
      <c r="T24" s="73" t="e">
        <f t="shared" si="6"/>
        <v>#DIV/0!</v>
      </c>
      <c r="U24" s="73" t="e">
        <f t="shared" si="7"/>
        <v>#DIV/0!</v>
      </c>
      <c r="V24" s="73" t="e">
        <f t="shared" si="8"/>
        <v>#DIV/0!</v>
      </c>
    </row>
    <row r="25" spans="2:22" ht="14.25" customHeight="1" x14ac:dyDescent="0.2">
      <c r="B25" s="96" t="s">
        <v>111</v>
      </c>
      <c r="C25" s="118" t="s">
        <v>107</v>
      </c>
      <c r="D25" s="118">
        <v>5</v>
      </c>
      <c r="E25" s="96" t="str">
        <f t="shared" si="0"/>
        <v>DIDT</v>
      </c>
      <c r="F25" s="56">
        <v>100</v>
      </c>
      <c r="G25" s="100">
        <v>19.5339645147324</v>
      </c>
      <c r="H25" s="100">
        <v>1.2610720966476901E-2</v>
      </c>
      <c r="I25" s="100">
        <v>9.8179319802025396E-4</v>
      </c>
      <c r="J25" s="100">
        <v>6.3382525846538797E-7</v>
      </c>
      <c r="K25" s="54" t="e">
        <f t="shared" si="1"/>
        <v>#DIV/0!</v>
      </c>
      <c r="L25" s="54" t="e">
        <f t="shared" si="2"/>
        <v>#DIV/0!</v>
      </c>
      <c r="M25" s="54" t="e">
        <f t="shared" si="3"/>
        <v>#DIV/0!</v>
      </c>
      <c r="N25" s="54" t="e">
        <f t="shared" si="4"/>
        <v>#DIV/0!</v>
      </c>
      <c r="O25" s="197"/>
      <c r="P25" s="197"/>
      <c r="Q25" s="197"/>
      <c r="R25" s="197"/>
      <c r="S25" s="73" t="e">
        <f t="shared" si="5"/>
        <v>#DIV/0!</v>
      </c>
      <c r="T25" s="73" t="e">
        <f t="shared" si="6"/>
        <v>#DIV/0!</v>
      </c>
      <c r="U25" s="73" t="e">
        <f t="shared" si="7"/>
        <v>#DIV/0!</v>
      </c>
      <c r="V25" s="73" t="e">
        <f t="shared" si="8"/>
        <v>#DIV/0!</v>
      </c>
    </row>
    <row r="26" spans="2:22" ht="14.25" customHeight="1" x14ac:dyDescent="0.2">
      <c r="B26" s="96" t="s">
        <v>112</v>
      </c>
      <c r="C26" s="118" t="s">
        <v>107</v>
      </c>
      <c r="D26" s="118">
        <v>6</v>
      </c>
      <c r="E26" s="96" t="str">
        <f t="shared" si="0"/>
        <v>DIDT</v>
      </c>
      <c r="F26" s="56">
        <v>260</v>
      </c>
      <c r="G26" s="100">
        <v>6.5091120481491096</v>
      </c>
      <c r="H26" s="100">
        <v>4.2021472775377296E-3</v>
      </c>
      <c r="I26" s="100">
        <v>2.43964040897598E-4</v>
      </c>
      <c r="J26" s="100">
        <v>1.57498107759758E-7</v>
      </c>
      <c r="K26" s="54" t="e">
        <f t="shared" si="1"/>
        <v>#DIV/0!</v>
      </c>
      <c r="L26" s="54" t="e">
        <f t="shared" si="2"/>
        <v>#DIV/0!</v>
      </c>
      <c r="M26" s="54" t="e">
        <f t="shared" si="3"/>
        <v>#DIV/0!</v>
      </c>
      <c r="N26" s="54" t="e">
        <f t="shared" si="4"/>
        <v>#DIV/0!</v>
      </c>
      <c r="O26" s="197"/>
      <c r="P26" s="197"/>
      <c r="Q26" s="197"/>
      <c r="R26" s="197"/>
      <c r="S26" s="73" t="e">
        <f t="shared" si="5"/>
        <v>#DIV/0!</v>
      </c>
      <c r="T26" s="73" t="e">
        <f t="shared" si="6"/>
        <v>#DIV/0!</v>
      </c>
      <c r="U26" s="73" t="e">
        <f t="shared" si="7"/>
        <v>#DIV/0!</v>
      </c>
      <c r="V26" s="73" t="e">
        <f t="shared" si="8"/>
        <v>#DIV/0!</v>
      </c>
    </row>
    <row r="27" spans="2:22" ht="14.25" customHeight="1" x14ac:dyDescent="0.2">
      <c r="B27" s="96" t="s">
        <v>113</v>
      </c>
      <c r="C27" s="118" t="s">
        <v>107</v>
      </c>
      <c r="D27" s="118">
        <v>7</v>
      </c>
      <c r="E27" s="96" t="str">
        <f t="shared" si="0"/>
        <v>DIDT</v>
      </c>
      <c r="F27" s="56">
        <v>168</v>
      </c>
      <c r="G27" s="100">
        <v>10.6359117746353</v>
      </c>
      <c r="H27" s="100">
        <v>6.8663232843391604E-3</v>
      </c>
      <c r="I27" s="100">
        <v>1.6488284482935899E-3</v>
      </c>
      <c r="J27" s="100">
        <v>1.0644493328785601E-6</v>
      </c>
      <c r="K27" s="54" t="e">
        <f t="shared" si="1"/>
        <v>#DIV/0!</v>
      </c>
      <c r="L27" s="54" t="e">
        <f t="shared" si="2"/>
        <v>#DIV/0!</v>
      </c>
      <c r="M27" s="54" t="e">
        <f t="shared" si="3"/>
        <v>#DIV/0!</v>
      </c>
      <c r="N27" s="54" t="e">
        <f t="shared" si="4"/>
        <v>#DIV/0!</v>
      </c>
      <c r="O27" s="197"/>
      <c r="P27" s="197"/>
      <c r="Q27" s="197"/>
      <c r="R27" s="197"/>
      <c r="S27" s="73" t="e">
        <f t="shared" si="5"/>
        <v>#DIV/0!</v>
      </c>
      <c r="T27" s="73" t="e">
        <f t="shared" si="6"/>
        <v>#DIV/0!</v>
      </c>
      <c r="U27" s="73" t="e">
        <f t="shared" si="7"/>
        <v>#DIV/0!</v>
      </c>
      <c r="V27" s="73" t="e">
        <f t="shared" si="8"/>
        <v>#DIV/0!</v>
      </c>
    </row>
    <row r="28" spans="2:22" ht="14.25" customHeight="1" x14ac:dyDescent="0.2">
      <c r="B28" s="96" t="s">
        <v>114</v>
      </c>
      <c r="C28" s="118" t="s">
        <v>115</v>
      </c>
      <c r="D28" s="118">
        <v>2</v>
      </c>
      <c r="E28" s="96" t="str">
        <f t="shared" si="0"/>
        <v>DIDT</v>
      </c>
      <c r="F28" s="56">
        <v>235</v>
      </c>
      <c r="G28" s="100">
        <v>2.60047385454178</v>
      </c>
      <c r="H28" s="100">
        <v>4.8805459924042199E-2</v>
      </c>
      <c r="I28" s="100">
        <v>4.0823816565875903E-5</v>
      </c>
      <c r="J28" s="100">
        <v>7.6617772042671597E-7</v>
      </c>
      <c r="K28" s="54" t="e">
        <f t="shared" si="1"/>
        <v>#DIV/0!</v>
      </c>
      <c r="L28" s="54" t="e">
        <f t="shared" si="2"/>
        <v>#DIV/0!</v>
      </c>
      <c r="M28" s="54" t="e">
        <f t="shared" si="3"/>
        <v>#DIV/0!</v>
      </c>
      <c r="N28" s="54" t="e">
        <f t="shared" si="4"/>
        <v>#DIV/0!</v>
      </c>
      <c r="O28" s="197"/>
      <c r="P28" s="197"/>
      <c r="Q28" s="197"/>
      <c r="R28" s="197"/>
      <c r="S28" s="73" t="e">
        <f t="shared" si="5"/>
        <v>#DIV/0!</v>
      </c>
      <c r="T28" s="73" t="e">
        <f t="shared" si="6"/>
        <v>#DIV/0!</v>
      </c>
      <c r="U28" s="73" t="e">
        <f t="shared" si="7"/>
        <v>#DIV/0!</v>
      </c>
      <c r="V28" s="73" t="e">
        <f t="shared" si="8"/>
        <v>#DIV/0!</v>
      </c>
    </row>
    <row r="29" spans="2:22" ht="14.25" customHeight="1" x14ac:dyDescent="0.2">
      <c r="B29" s="96" t="s">
        <v>116</v>
      </c>
      <c r="C29" s="118" t="s">
        <v>115</v>
      </c>
      <c r="D29" s="118">
        <v>3</v>
      </c>
      <c r="E29" s="96" t="str">
        <f t="shared" si="0"/>
        <v>DIDT</v>
      </c>
      <c r="F29" s="56">
        <v>175</v>
      </c>
      <c r="G29" s="100">
        <v>6.0050897073745704</v>
      </c>
      <c r="H29" s="100">
        <v>0.112702983543277</v>
      </c>
      <c r="I29" s="100">
        <v>1.4763529008253801E-4</v>
      </c>
      <c r="J29" s="100">
        <v>2.7708058494605798E-6</v>
      </c>
      <c r="K29" s="54" t="e">
        <f t="shared" si="1"/>
        <v>#DIV/0!</v>
      </c>
      <c r="L29" s="54" t="e">
        <f t="shared" si="2"/>
        <v>#DIV/0!</v>
      </c>
      <c r="M29" s="54" t="e">
        <f t="shared" si="3"/>
        <v>#DIV/0!</v>
      </c>
      <c r="N29" s="54" t="e">
        <f t="shared" si="4"/>
        <v>#DIV/0!</v>
      </c>
      <c r="O29" s="197"/>
      <c r="P29" s="197"/>
      <c r="Q29" s="197"/>
      <c r="R29" s="197"/>
      <c r="S29" s="73" t="e">
        <f t="shared" si="5"/>
        <v>#DIV/0!</v>
      </c>
      <c r="T29" s="73" t="e">
        <f t="shared" si="6"/>
        <v>#DIV/0!</v>
      </c>
      <c r="U29" s="73" t="e">
        <f t="shared" si="7"/>
        <v>#DIV/0!</v>
      </c>
      <c r="V29" s="73" t="e">
        <f t="shared" si="8"/>
        <v>#DIV/0!</v>
      </c>
    </row>
    <row r="30" spans="2:22" ht="14.25" customHeight="1" x14ac:dyDescent="0.2">
      <c r="B30" s="96" t="s">
        <v>117</v>
      </c>
      <c r="C30" s="118" t="s">
        <v>115</v>
      </c>
      <c r="D30" s="118">
        <v>5</v>
      </c>
      <c r="E30" s="96" t="str">
        <f t="shared" si="0"/>
        <v>DIDT</v>
      </c>
      <c r="F30" s="56">
        <v>68</v>
      </c>
      <c r="G30" s="100">
        <v>9.3605291366577106</v>
      </c>
      <c r="H30" s="100">
        <v>0.17567756950855301</v>
      </c>
      <c r="I30" s="100">
        <v>1.8936915135858099E-4</v>
      </c>
      <c r="J30" s="100">
        <v>3.55406321034479E-6</v>
      </c>
      <c r="K30" s="54" t="e">
        <f t="shared" si="1"/>
        <v>#DIV/0!</v>
      </c>
      <c r="L30" s="54" t="e">
        <f t="shared" si="2"/>
        <v>#DIV/0!</v>
      </c>
      <c r="M30" s="54" t="e">
        <f t="shared" si="3"/>
        <v>#DIV/0!</v>
      </c>
      <c r="N30" s="54" t="e">
        <f t="shared" si="4"/>
        <v>#DIV/0!</v>
      </c>
      <c r="O30" s="197"/>
      <c r="P30" s="197"/>
      <c r="Q30" s="197"/>
      <c r="R30" s="197"/>
      <c r="S30" s="73" t="e">
        <f t="shared" si="5"/>
        <v>#DIV/0!</v>
      </c>
      <c r="T30" s="73" t="e">
        <f t="shared" si="6"/>
        <v>#DIV/0!</v>
      </c>
      <c r="U30" s="73" t="e">
        <f t="shared" si="7"/>
        <v>#DIV/0!</v>
      </c>
      <c r="V30" s="73" t="e">
        <f t="shared" si="8"/>
        <v>#DIV/0!</v>
      </c>
    </row>
    <row r="31" spans="2:22" ht="14.25" customHeight="1" x14ac:dyDescent="0.2">
      <c r="B31" s="96" t="s">
        <v>118</v>
      </c>
      <c r="C31" s="118" t="s">
        <v>115</v>
      </c>
      <c r="D31" s="118">
        <v>6</v>
      </c>
      <c r="E31" s="96" t="str">
        <f t="shared" si="0"/>
        <v>DIDT</v>
      </c>
      <c r="F31" s="56">
        <v>137</v>
      </c>
      <c r="G31" s="100">
        <v>4.0368582743406298</v>
      </c>
      <c r="H31" s="100">
        <v>7.5763393081724598E-2</v>
      </c>
      <c r="I31" s="100">
        <v>4.75210192510455E-4</v>
      </c>
      <c r="J31" s="100">
        <v>8.9187021484201305E-6</v>
      </c>
      <c r="K31" s="54" t="e">
        <f t="shared" si="1"/>
        <v>#DIV/0!</v>
      </c>
      <c r="L31" s="54" t="e">
        <f t="shared" si="2"/>
        <v>#DIV/0!</v>
      </c>
      <c r="M31" s="54" t="e">
        <f t="shared" si="3"/>
        <v>#DIV/0!</v>
      </c>
      <c r="N31" s="54" t="e">
        <f t="shared" si="4"/>
        <v>#DIV/0!</v>
      </c>
      <c r="O31" s="197"/>
      <c r="P31" s="197"/>
      <c r="Q31" s="197"/>
      <c r="R31" s="197"/>
      <c r="S31" s="73" t="e">
        <f t="shared" si="5"/>
        <v>#DIV/0!</v>
      </c>
      <c r="T31" s="73" t="e">
        <f t="shared" si="6"/>
        <v>#DIV/0!</v>
      </c>
      <c r="U31" s="73" t="e">
        <f t="shared" si="7"/>
        <v>#DIV/0!</v>
      </c>
      <c r="V31" s="73" t="e">
        <f t="shared" si="8"/>
        <v>#DIV/0!</v>
      </c>
    </row>
    <row r="32" spans="2:22" ht="14.25" customHeight="1" x14ac:dyDescent="0.2">
      <c r="B32" s="96" t="s">
        <v>119</v>
      </c>
      <c r="C32" s="118" t="s">
        <v>115</v>
      </c>
      <c r="D32" s="118">
        <v>11</v>
      </c>
      <c r="E32" s="96" t="str">
        <f t="shared" si="0"/>
        <v>DIDT</v>
      </c>
      <c r="F32" s="56">
        <v>50</v>
      </c>
      <c r="G32" s="100">
        <v>68.815620307922401</v>
      </c>
      <c r="H32" s="100">
        <v>1.29152537405491</v>
      </c>
      <c r="I32" s="100">
        <v>5.9019513223878097E-4</v>
      </c>
      <c r="J32" s="100">
        <v>1.1076729152440101E-5</v>
      </c>
      <c r="K32" s="54" t="e">
        <f t="shared" si="1"/>
        <v>#DIV/0!</v>
      </c>
      <c r="L32" s="54" t="e">
        <f t="shared" si="2"/>
        <v>#DIV/0!</v>
      </c>
      <c r="M32" s="54" t="e">
        <f t="shared" si="3"/>
        <v>#DIV/0!</v>
      </c>
      <c r="N32" s="54" t="e">
        <f t="shared" si="4"/>
        <v>#DIV/0!</v>
      </c>
      <c r="O32" s="197"/>
      <c r="P32" s="197"/>
      <c r="Q32" s="197"/>
      <c r="R32" s="197"/>
      <c r="S32" s="73" t="e">
        <f t="shared" si="5"/>
        <v>#DIV/0!</v>
      </c>
      <c r="T32" s="73" t="e">
        <f t="shared" si="6"/>
        <v>#DIV/0!</v>
      </c>
      <c r="U32" s="73" t="e">
        <f t="shared" si="7"/>
        <v>#DIV/0!</v>
      </c>
      <c r="V32" s="73" t="e">
        <f t="shared" si="8"/>
        <v>#DIV/0!</v>
      </c>
    </row>
    <row r="33" spans="2:22" ht="14.25" customHeight="1" x14ac:dyDescent="0.2">
      <c r="B33" s="96" t="s">
        <v>120</v>
      </c>
      <c r="C33" s="118" t="s">
        <v>115</v>
      </c>
      <c r="D33" s="118">
        <v>12</v>
      </c>
      <c r="E33" s="96" t="str">
        <f t="shared" si="0"/>
        <v>DIDT</v>
      </c>
      <c r="F33" s="56">
        <v>1000</v>
      </c>
      <c r="G33" s="100">
        <v>1.82560729861259</v>
      </c>
      <c r="H33" s="100">
        <v>3.4262833446264303E-2</v>
      </c>
      <c r="I33" s="100">
        <v>5.6776738967983003E-5</v>
      </c>
      <c r="J33" s="100">
        <v>1.06558073042014E-6</v>
      </c>
      <c r="K33" s="54" t="e">
        <f t="shared" si="1"/>
        <v>#DIV/0!</v>
      </c>
      <c r="L33" s="54" t="e">
        <f t="shared" si="2"/>
        <v>#DIV/0!</v>
      </c>
      <c r="M33" s="54" t="e">
        <f t="shared" si="3"/>
        <v>#DIV/0!</v>
      </c>
      <c r="N33" s="54" t="e">
        <f t="shared" si="4"/>
        <v>#DIV/0!</v>
      </c>
      <c r="O33" s="197"/>
      <c r="P33" s="197"/>
      <c r="Q33" s="197"/>
      <c r="R33" s="197"/>
      <c r="S33" s="73" t="e">
        <f t="shared" si="5"/>
        <v>#DIV/0!</v>
      </c>
      <c r="T33" s="73" t="e">
        <f t="shared" si="6"/>
        <v>#DIV/0!</v>
      </c>
      <c r="U33" s="73" t="e">
        <f t="shared" si="7"/>
        <v>#DIV/0!</v>
      </c>
      <c r="V33" s="73" t="e">
        <f t="shared" si="8"/>
        <v>#DIV/0!</v>
      </c>
    </row>
    <row r="34" spans="2:22" ht="14.25" customHeight="1" x14ac:dyDescent="0.2">
      <c r="B34" s="96" t="s">
        <v>121</v>
      </c>
      <c r="C34" s="118" t="s">
        <v>12</v>
      </c>
      <c r="D34" s="118" t="s">
        <v>122</v>
      </c>
      <c r="E34" s="96" t="str">
        <f t="shared" si="0"/>
        <v>DIDT</v>
      </c>
      <c r="F34" s="56">
        <v>150</v>
      </c>
      <c r="G34" s="100">
        <v>4.3215992426872196</v>
      </c>
      <c r="H34" s="100">
        <v>2.45779963769019E-2</v>
      </c>
      <c r="I34" s="100">
        <v>1.02517241939495E-3</v>
      </c>
      <c r="J34" s="100">
        <v>5.8304073791740999E-6</v>
      </c>
      <c r="K34" s="54" t="e">
        <f t="shared" si="1"/>
        <v>#DIV/0!</v>
      </c>
      <c r="L34" s="54" t="e">
        <f t="shared" si="2"/>
        <v>#DIV/0!</v>
      </c>
      <c r="M34" s="54" t="e">
        <f t="shared" si="3"/>
        <v>#DIV/0!</v>
      </c>
      <c r="N34" s="54" t="e">
        <f t="shared" si="4"/>
        <v>#DIV/0!</v>
      </c>
      <c r="O34" s="197"/>
      <c r="P34" s="197"/>
      <c r="Q34" s="197"/>
      <c r="R34" s="197"/>
      <c r="S34" s="73" t="e">
        <f t="shared" si="5"/>
        <v>#DIV/0!</v>
      </c>
      <c r="T34" s="73" t="e">
        <f t="shared" si="6"/>
        <v>#DIV/0!</v>
      </c>
      <c r="U34" s="73" t="e">
        <f t="shared" si="7"/>
        <v>#DIV/0!</v>
      </c>
      <c r="V34" s="73" t="e">
        <f t="shared" si="8"/>
        <v>#DIV/0!</v>
      </c>
    </row>
    <row r="35" spans="2:22" ht="14.25" customHeight="1" x14ac:dyDescent="0.2">
      <c r="B35" s="96" t="s">
        <v>123</v>
      </c>
      <c r="C35" s="118" t="s">
        <v>12</v>
      </c>
      <c r="D35" s="118" t="s">
        <v>124</v>
      </c>
      <c r="E35" s="96" t="str">
        <f t="shared" si="0"/>
        <v>DIDT</v>
      </c>
      <c r="F35" s="56">
        <v>147</v>
      </c>
      <c r="G35" s="100">
        <v>2.2471569544076901</v>
      </c>
      <c r="H35" s="100">
        <v>3.5006451313383903E-2</v>
      </c>
      <c r="I35" s="100">
        <v>8.1762803362300199E-4</v>
      </c>
      <c r="J35" s="100">
        <v>1.2737096943517701E-5</v>
      </c>
      <c r="K35" s="54" t="e">
        <f t="shared" si="1"/>
        <v>#DIV/0!</v>
      </c>
      <c r="L35" s="54" t="e">
        <f t="shared" si="2"/>
        <v>#DIV/0!</v>
      </c>
      <c r="M35" s="54" t="e">
        <f t="shared" si="3"/>
        <v>#DIV/0!</v>
      </c>
      <c r="N35" s="54" t="e">
        <f t="shared" si="4"/>
        <v>#DIV/0!</v>
      </c>
      <c r="O35" s="197"/>
      <c r="P35" s="197"/>
      <c r="Q35" s="197"/>
      <c r="R35" s="197"/>
      <c r="S35" s="73" t="e">
        <f t="shared" si="5"/>
        <v>#DIV/0!</v>
      </c>
      <c r="T35" s="73" t="e">
        <f t="shared" si="6"/>
        <v>#DIV/0!</v>
      </c>
      <c r="U35" s="73" t="e">
        <f t="shared" si="7"/>
        <v>#DIV/0!</v>
      </c>
      <c r="V35" s="73" t="e">
        <f t="shared" si="8"/>
        <v>#DIV/0!</v>
      </c>
    </row>
    <row r="36" spans="2:22" ht="14.25" customHeight="1" x14ac:dyDescent="0.2">
      <c r="B36" s="96" t="s">
        <v>125</v>
      </c>
      <c r="C36" s="118" t="s">
        <v>12</v>
      </c>
      <c r="D36" s="118" t="s">
        <v>126</v>
      </c>
      <c r="E36" s="96" t="str">
        <f t="shared" si="0"/>
        <v>DIDT</v>
      </c>
      <c r="F36" s="56">
        <v>379</v>
      </c>
      <c r="G36" s="100">
        <v>1.52558210611343</v>
      </c>
      <c r="H36" s="100">
        <v>1.5375826851231999E-3</v>
      </c>
      <c r="I36" s="100">
        <v>4.2121138609407701E-4</v>
      </c>
      <c r="J36" s="100">
        <v>4.2452472866124298E-7</v>
      </c>
      <c r="K36" s="54" t="e">
        <f t="shared" si="1"/>
        <v>#DIV/0!</v>
      </c>
      <c r="L36" s="54" t="e">
        <f t="shared" si="2"/>
        <v>#DIV/0!</v>
      </c>
      <c r="M36" s="54" t="e">
        <f t="shared" si="3"/>
        <v>#DIV/0!</v>
      </c>
      <c r="N36" s="54" t="e">
        <f t="shared" si="4"/>
        <v>#DIV/0!</v>
      </c>
      <c r="O36" s="197"/>
      <c r="P36" s="197"/>
      <c r="Q36" s="197"/>
      <c r="R36" s="197"/>
      <c r="S36" s="73" t="e">
        <f t="shared" si="5"/>
        <v>#DIV/0!</v>
      </c>
      <c r="T36" s="73" t="e">
        <f t="shared" si="6"/>
        <v>#DIV/0!</v>
      </c>
      <c r="U36" s="73" t="e">
        <f t="shared" si="7"/>
        <v>#DIV/0!</v>
      </c>
      <c r="V36" s="73" t="e">
        <f t="shared" si="8"/>
        <v>#DIV/0!</v>
      </c>
    </row>
    <row r="37" spans="2:22" ht="14.25" customHeight="1" x14ac:dyDescent="0.2">
      <c r="B37" s="96" t="s">
        <v>127</v>
      </c>
      <c r="C37" s="118" t="s">
        <v>12</v>
      </c>
      <c r="D37" s="118" t="s">
        <v>128</v>
      </c>
      <c r="E37" s="96" t="str">
        <f t="shared" si="0"/>
        <v>DIDT</v>
      </c>
      <c r="F37" s="56">
        <v>1550</v>
      </c>
      <c r="G37" s="100">
        <v>0.11567978732287899</v>
      </c>
      <c r="H37" s="100">
        <v>4.6052952809259298E-3</v>
      </c>
      <c r="I37" s="100">
        <v>4.5499129249198698E-5</v>
      </c>
      <c r="J37" s="100">
        <v>1.8113529690907E-6</v>
      </c>
      <c r="K37" s="54" t="e">
        <f t="shared" si="1"/>
        <v>#DIV/0!</v>
      </c>
      <c r="L37" s="54" t="e">
        <f t="shared" si="2"/>
        <v>#DIV/0!</v>
      </c>
      <c r="M37" s="54" t="e">
        <f t="shared" si="3"/>
        <v>#DIV/0!</v>
      </c>
      <c r="N37" s="54" t="e">
        <f t="shared" si="4"/>
        <v>#DIV/0!</v>
      </c>
      <c r="O37" s="197"/>
      <c r="P37" s="197"/>
      <c r="Q37" s="197"/>
      <c r="R37" s="197"/>
      <c r="S37" s="73" t="e">
        <f t="shared" si="5"/>
        <v>#DIV/0!</v>
      </c>
      <c r="T37" s="73" t="e">
        <f t="shared" si="6"/>
        <v>#DIV/0!</v>
      </c>
      <c r="U37" s="73" t="e">
        <f t="shared" si="7"/>
        <v>#DIV/0!</v>
      </c>
      <c r="V37" s="73" t="e">
        <f t="shared" si="8"/>
        <v>#DIV/0!</v>
      </c>
    </row>
    <row r="38" spans="2:22" ht="14.25" customHeight="1" x14ac:dyDescent="0.2">
      <c r="B38" s="96" t="s">
        <v>129</v>
      </c>
      <c r="C38" s="118" t="s">
        <v>12</v>
      </c>
      <c r="D38" s="118" t="s">
        <v>130</v>
      </c>
      <c r="E38" s="96" t="str">
        <f t="shared" si="0"/>
        <v>DIDT</v>
      </c>
      <c r="F38" s="56">
        <v>376</v>
      </c>
      <c r="G38" s="100">
        <v>5.5139962397515799E-2</v>
      </c>
      <c r="H38" s="100">
        <v>3.97872992209159E-3</v>
      </c>
      <c r="I38" s="100">
        <v>1.6617694762014399E-5</v>
      </c>
      <c r="J38" s="100">
        <v>1.1990816917228999E-6</v>
      </c>
      <c r="K38" s="54" t="e">
        <f t="shared" si="1"/>
        <v>#DIV/0!</v>
      </c>
      <c r="L38" s="54" t="e">
        <f t="shared" si="2"/>
        <v>#DIV/0!</v>
      </c>
      <c r="M38" s="54" t="e">
        <f t="shared" si="3"/>
        <v>#DIV/0!</v>
      </c>
      <c r="N38" s="54" t="e">
        <f t="shared" si="4"/>
        <v>#DIV/0!</v>
      </c>
      <c r="O38" s="197"/>
      <c r="P38" s="197"/>
      <c r="Q38" s="197"/>
      <c r="R38" s="197"/>
      <c r="S38" s="73" t="e">
        <f t="shared" si="5"/>
        <v>#DIV/0!</v>
      </c>
      <c r="T38" s="73" t="e">
        <f t="shared" si="6"/>
        <v>#DIV/0!</v>
      </c>
      <c r="U38" s="73" t="e">
        <f t="shared" si="7"/>
        <v>#DIV/0!</v>
      </c>
      <c r="V38" s="73" t="e">
        <f t="shared" si="8"/>
        <v>#DIV/0!</v>
      </c>
    </row>
    <row r="39" spans="2:22" ht="14.25" customHeight="1" x14ac:dyDescent="0.2">
      <c r="B39" s="96" t="s">
        <v>131</v>
      </c>
      <c r="C39" s="118" t="s">
        <v>12</v>
      </c>
      <c r="D39" s="118" t="s">
        <v>132</v>
      </c>
      <c r="E39" s="96" t="str">
        <f t="shared" si="0"/>
        <v>DIDT</v>
      </c>
      <c r="F39" s="56">
        <v>627</v>
      </c>
      <c r="G39" s="100">
        <v>0.12195046670734901</v>
      </c>
      <c r="H39" s="100">
        <v>1.2419602762383901E-3</v>
      </c>
      <c r="I39" s="100">
        <v>2.5958530487168899E-4</v>
      </c>
      <c r="J39" s="100">
        <v>2.6436523530638202E-6</v>
      </c>
      <c r="K39" s="54" t="e">
        <f t="shared" si="1"/>
        <v>#DIV/0!</v>
      </c>
      <c r="L39" s="54" t="e">
        <f t="shared" si="2"/>
        <v>#DIV/0!</v>
      </c>
      <c r="M39" s="54" t="e">
        <f t="shared" si="3"/>
        <v>#DIV/0!</v>
      </c>
      <c r="N39" s="54" t="e">
        <f t="shared" si="4"/>
        <v>#DIV/0!</v>
      </c>
      <c r="O39" s="197"/>
      <c r="P39" s="197"/>
      <c r="Q39" s="197"/>
      <c r="R39" s="197"/>
      <c r="S39" s="73" t="e">
        <f t="shared" si="5"/>
        <v>#DIV/0!</v>
      </c>
      <c r="T39" s="73" t="e">
        <f t="shared" si="6"/>
        <v>#DIV/0!</v>
      </c>
      <c r="U39" s="73" t="e">
        <f t="shared" si="7"/>
        <v>#DIV/0!</v>
      </c>
      <c r="V39" s="73" t="e">
        <f t="shared" si="8"/>
        <v>#DIV/0!</v>
      </c>
    </row>
    <row r="40" spans="2:22" ht="14.25" customHeight="1" x14ac:dyDescent="0.2">
      <c r="B40" s="96" t="s">
        <v>133</v>
      </c>
      <c r="C40" s="118" t="s">
        <v>12</v>
      </c>
      <c r="D40" s="118" t="s">
        <v>134</v>
      </c>
      <c r="E40" s="96" t="str">
        <f t="shared" si="0"/>
        <v>DIDT</v>
      </c>
      <c r="F40" s="56">
        <v>80</v>
      </c>
      <c r="G40" s="100">
        <v>5.3543341833353004</v>
      </c>
      <c r="H40" s="100">
        <v>4.0992287418339397E-3</v>
      </c>
      <c r="I40" s="100">
        <v>5.3544940349335504E-3</v>
      </c>
      <c r="J40" s="100">
        <v>4.0993511524571097E-6</v>
      </c>
      <c r="K40" s="54" t="e">
        <f t="shared" si="1"/>
        <v>#DIV/0!</v>
      </c>
      <c r="L40" s="54" t="e">
        <f t="shared" si="2"/>
        <v>#DIV/0!</v>
      </c>
      <c r="M40" s="54" t="e">
        <f t="shared" si="3"/>
        <v>#DIV/0!</v>
      </c>
      <c r="N40" s="54" t="e">
        <f t="shared" si="4"/>
        <v>#DIV/0!</v>
      </c>
      <c r="O40" s="197"/>
      <c r="P40" s="197"/>
      <c r="Q40" s="197"/>
      <c r="R40" s="197"/>
      <c r="S40" s="73" t="e">
        <f t="shared" si="5"/>
        <v>#DIV/0!</v>
      </c>
      <c r="T40" s="73" t="e">
        <f t="shared" si="6"/>
        <v>#DIV/0!</v>
      </c>
      <c r="U40" s="73" t="e">
        <f t="shared" si="7"/>
        <v>#DIV/0!</v>
      </c>
      <c r="V40" s="73" t="e">
        <f t="shared" si="8"/>
        <v>#DIV/0!</v>
      </c>
    </row>
    <row r="41" spans="2:22" ht="14.25" customHeight="1" x14ac:dyDescent="0.2">
      <c r="B41" s="96" t="s">
        <v>135</v>
      </c>
      <c r="C41" s="118" t="s">
        <v>12</v>
      </c>
      <c r="D41" s="118" t="s">
        <v>136</v>
      </c>
      <c r="E41" s="96" t="str">
        <f t="shared" si="0"/>
        <v>DIDT</v>
      </c>
      <c r="F41" s="56">
        <v>116</v>
      </c>
      <c r="G41" s="100">
        <v>1.16729799330235</v>
      </c>
      <c r="H41" s="100">
        <v>8.6057356093078804E-4</v>
      </c>
      <c r="I41" s="100">
        <v>2.6555639711695902E-4</v>
      </c>
      <c r="J41" s="100">
        <v>1.95777610866876E-7</v>
      </c>
      <c r="K41" s="54" t="e">
        <f t="shared" si="1"/>
        <v>#DIV/0!</v>
      </c>
      <c r="L41" s="54" t="e">
        <f t="shared" si="2"/>
        <v>#DIV/0!</v>
      </c>
      <c r="M41" s="54" t="e">
        <f t="shared" si="3"/>
        <v>#DIV/0!</v>
      </c>
      <c r="N41" s="54" t="e">
        <f t="shared" si="4"/>
        <v>#DIV/0!</v>
      </c>
      <c r="O41" s="197"/>
      <c r="P41" s="197"/>
      <c r="Q41" s="197"/>
      <c r="R41" s="197"/>
      <c r="S41" s="73" t="e">
        <f t="shared" si="5"/>
        <v>#DIV/0!</v>
      </c>
      <c r="T41" s="73" t="e">
        <f t="shared" si="6"/>
        <v>#DIV/0!</v>
      </c>
      <c r="U41" s="73" t="e">
        <f t="shared" si="7"/>
        <v>#DIV/0!</v>
      </c>
      <c r="V41" s="73" t="e">
        <f t="shared" si="8"/>
        <v>#DIV/0!</v>
      </c>
    </row>
    <row r="42" spans="2:22" ht="14.25" customHeight="1" x14ac:dyDescent="0.2">
      <c r="B42" s="96" t="s">
        <v>137</v>
      </c>
      <c r="C42" s="118" t="s">
        <v>12</v>
      </c>
      <c r="D42" s="118" t="s">
        <v>138</v>
      </c>
      <c r="E42" s="96" t="str">
        <f t="shared" si="0"/>
        <v>DIDT</v>
      </c>
      <c r="F42" s="56">
        <v>80</v>
      </c>
      <c r="G42" s="100">
        <v>12.4049645400047</v>
      </c>
      <c r="H42" s="100">
        <v>6.9139074575901001</v>
      </c>
      <c r="I42" s="100">
        <v>3.1618231155152898E-3</v>
      </c>
      <c r="J42" s="100">
        <v>1.7622422401655099E-3</v>
      </c>
      <c r="K42" s="54" t="e">
        <f t="shared" si="1"/>
        <v>#DIV/0!</v>
      </c>
      <c r="L42" s="54" t="e">
        <f t="shared" si="2"/>
        <v>#DIV/0!</v>
      </c>
      <c r="M42" s="54" t="e">
        <f t="shared" si="3"/>
        <v>#DIV/0!</v>
      </c>
      <c r="N42" s="54" t="e">
        <f t="shared" si="4"/>
        <v>#DIV/0!</v>
      </c>
      <c r="O42" s="197"/>
      <c r="P42" s="197"/>
      <c r="Q42" s="197"/>
      <c r="R42" s="197"/>
      <c r="S42" s="73" t="e">
        <f t="shared" si="5"/>
        <v>#DIV/0!</v>
      </c>
      <c r="T42" s="73" t="e">
        <f t="shared" si="6"/>
        <v>#DIV/0!</v>
      </c>
      <c r="U42" s="73" t="e">
        <f t="shared" si="7"/>
        <v>#DIV/0!</v>
      </c>
      <c r="V42" s="73" t="e">
        <f t="shared" si="8"/>
        <v>#DIV/0!</v>
      </c>
    </row>
    <row r="43" spans="2:22" ht="14.25" customHeight="1" x14ac:dyDescent="0.2">
      <c r="B43" s="96" t="s">
        <v>139</v>
      </c>
      <c r="C43" s="118" t="s">
        <v>12</v>
      </c>
      <c r="D43" s="118" t="s">
        <v>140</v>
      </c>
      <c r="E43" s="96" t="str">
        <f t="shared" si="0"/>
        <v>DIDT</v>
      </c>
      <c r="F43" s="56">
        <v>12</v>
      </c>
      <c r="G43" s="100">
        <v>5.0119776630401596</v>
      </c>
      <c r="H43" s="100">
        <v>1.5115942124975801E-3</v>
      </c>
      <c r="I43" s="100">
        <v>8.0226464278772905E-3</v>
      </c>
      <c r="J43" s="100">
        <v>2.4196009536462798E-6</v>
      </c>
      <c r="K43" s="54" t="e">
        <f t="shared" si="1"/>
        <v>#DIV/0!</v>
      </c>
      <c r="L43" s="54" t="e">
        <f t="shared" si="2"/>
        <v>#DIV/0!</v>
      </c>
      <c r="M43" s="54" t="e">
        <f t="shared" si="3"/>
        <v>#DIV/0!</v>
      </c>
      <c r="N43" s="54" t="e">
        <f t="shared" si="4"/>
        <v>#DIV/0!</v>
      </c>
      <c r="O43" s="197"/>
      <c r="P43" s="197"/>
      <c r="Q43" s="197"/>
      <c r="R43" s="197"/>
      <c r="S43" s="73" t="e">
        <f t="shared" si="5"/>
        <v>#DIV/0!</v>
      </c>
      <c r="T43" s="73" t="e">
        <f t="shared" si="6"/>
        <v>#DIV/0!</v>
      </c>
      <c r="U43" s="73" t="e">
        <f t="shared" si="7"/>
        <v>#DIV/0!</v>
      </c>
      <c r="V43" s="73" t="e">
        <f t="shared" si="8"/>
        <v>#DIV/0!</v>
      </c>
    </row>
    <row r="44" spans="2:22" ht="14.25" customHeight="1" x14ac:dyDescent="0.2">
      <c r="B44" s="96" t="s">
        <v>141</v>
      </c>
      <c r="C44" s="118" t="s">
        <v>13</v>
      </c>
      <c r="D44" s="118">
        <v>1</v>
      </c>
      <c r="E44" s="96" t="str">
        <f t="shared" si="0"/>
        <v>DIDT</v>
      </c>
      <c r="F44" s="56">
        <v>200</v>
      </c>
      <c r="G44" s="100">
        <v>13.1595158052444</v>
      </c>
      <c r="H44" s="100">
        <v>3.4707695227116302E-2</v>
      </c>
      <c r="I44" s="100">
        <v>1.8083686955894E-3</v>
      </c>
      <c r="J44" s="100">
        <v>4.7694999310010602E-6</v>
      </c>
      <c r="K44" s="54" t="e">
        <f t="shared" si="1"/>
        <v>#DIV/0!</v>
      </c>
      <c r="L44" s="54" t="e">
        <f t="shared" si="2"/>
        <v>#DIV/0!</v>
      </c>
      <c r="M44" s="54" t="e">
        <f t="shared" si="3"/>
        <v>#DIV/0!</v>
      </c>
      <c r="N44" s="54" t="e">
        <f t="shared" si="4"/>
        <v>#DIV/0!</v>
      </c>
      <c r="O44" s="197"/>
      <c r="P44" s="197"/>
      <c r="Q44" s="197"/>
      <c r="R44" s="197"/>
      <c r="S44" s="73" t="e">
        <f t="shared" si="5"/>
        <v>#DIV/0!</v>
      </c>
      <c r="T44" s="73" t="e">
        <f t="shared" si="6"/>
        <v>#DIV/0!</v>
      </c>
      <c r="U44" s="73" t="e">
        <f t="shared" si="7"/>
        <v>#DIV/0!</v>
      </c>
      <c r="V44" s="73" t="e">
        <f t="shared" si="8"/>
        <v>#DIV/0!</v>
      </c>
    </row>
    <row r="45" spans="2:22" ht="14.25" customHeight="1" x14ac:dyDescent="0.2">
      <c r="B45" s="96" t="s">
        <v>142</v>
      </c>
      <c r="C45" s="118" t="s">
        <v>13</v>
      </c>
      <c r="D45" s="118">
        <v>3</v>
      </c>
      <c r="E45" s="96" t="str">
        <f t="shared" si="0"/>
        <v>DIDT</v>
      </c>
      <c r="F45" s="56">
        <v>60</v>
      </c>
      <c r="G45" s="100">
        <v>22.323927564620998</v>
      </c>
      <c r="H45" s="100">
        <v>5.8878463674336697E-2</v>
      </c>
      <c r="I45" s="100">
        <v>9.4460558061352205E-4</v>
      </c>
      <c r="J45" s="100">
        <v>2.4913593327013901E-6</v>
      </c>
      <c r="K45" s="54" t="e">
        <f t="shared" si="1"/>
        <v>#DIV/0!</v>
      </c>
      <c r="L45" s="54" t="e">
        <f t="shared" si="2"/>
        <v>#DIV/0!</v>
      </c>
      <c r="M45" s="54" t="e">
        <f t="shared" si="3"/>
        <v>#DIV/0!</v>
      </c>
      <c r="N45" s="54" t="e">
        <f t="shared" si="4"/>
        <v>#DIV/0!</v>
      </c>
      <c r="O45" s="197"/>
      <c r="P45" s="197"/>
      <c r="Q45" s="197"/>
      <c r="R45" s="197"/>
      <c r="S45" s="73" t="e">
        <f t="shared" si="5"/>
        <v>#DIV/0!</v>
      </c>
      <c r="T45" s="73" t="e">
        <f t="shared" si="6"/>
        <v>#DIV/0!</v>
      </c>
      <c r="U45" s="73" t="e">
        <f t="shared" si="7"/>
        <v>#DIV/0!</v>
      </c>
      <c r="V45" s="73" t="e">
        <f t="shared" si="8"/>
        <v>#DIV/0!</v>
      </c>
    </row>
    <row r="46" spans="2:22" ht="14.25" customHeight="1" x14ac:dyDescent="0.2">
      <c r="B46" s="96" t="s">
        <v>143</v>
      </c>
      <c r="C46" s="118" t="s">
        <v>13</v>
      </c>
      <c r="D46" s="118">
        <v>4</v>
      </c>
      <c r="E46" s="96" t="str">
        <f t="shared" si="0"/>
        <v>DIDT</v>
      </c>
      <c r="F46" s="56">
        <v>300</v>
      </c>
      <c r="G46" s="100">
        <v>9.9633513593673708</v>
      </c>
      <c r="H46" s="100">
        <v>2.62779396120459E-2</v>
      </c>
      <c r="I46" s="100">
        <v>3.8478250810385398E-4</v>
      </c>
      <c r="J46" s="100">
        <v>1.0148484332672701E-6</v>
      </c>
      <c r="K46" s="54" t="e">
        <f t="shared" si="1"/>
        <v>#DIV/0!</v>
      </c>
      <c r="L46" s="54" t="e">
        <f t="shared" si="2"/>
        <v>#DIV/0!</v>
      </c>
      <c r="M46" s="54" t="e">
        <f t="shared" si="3"/>
        <v>#DIV/0!</v>
      </c>
      <c r="N46" s="54" t="e">
        <f t="shared" si="4"/>
        <v>#DIV/0!</v>
      </c>
      <c r="O46" s="197"/>
      <c r="P46" s="197"/>
      <c r="Q46" s="197"/>
      <c r="R46" s="197"/>
      <c r="S46" s="73" t="e">
        <f t="shared" si="5"/>
        <v>#DIV/0!</v>
      </c>
      <c r="T46" s="73" t="e">
        <f t="shared" si="6"/>
        <v>#DIV/0!</v>
      </c>
      <c r="U46" s="73" t="e">
        <f t="shared" si="7"/>
        <v>#DIV/0!</v>
      </c>
      <c r="V46" s="73" t="e">
        <f t="shared" si="8"/>
        <v>#DIV/0!</v>
      </c>
    </row>
    <row r="47" spans="2:22" ht="14.25" customHeight="1" x14ac:dyDescent="0.2">
      <c r="B47" s="96" t="s">
        <v>144</v>
      </c>
      <c r="C47" s="118" t="s">
        <v>13</v>
      </c>
      <c r="D47" s="118">
        <v>6</v>
      </c>
      <c r="E47" s="96" t="str">
        <f t="shared" si="0"/>
        <v>DIDT</v>
      </c>
      <c r="F47" s="56">
        <v>350</v>
      </c>
      <c r="G47" s="100">
        <v>3.66362529039383</v>
      </c>
      <c r="H47" s="100">
        <v>9.6626647841185406E-3</v>
      </c>
      <c r="I47" s="100">
        <v>7.5090092242741503E-4</v>
      </c>
      <c r="J47" s="100">
        <v>1.9804710695818099E-6</v>
      </c>
      <c r="K47" s="54" t="e">
        <f t="shared" si="1"/>
        <v>#DIV/0!</v>
      </c>
      <c r="L47" s="54" t="e">
        <f t="shared" si="2"/>
        <v>#DIV/0!</v>
      </c>
      <c r="M47" s="54" t="e">
        <f t="shared" si="3"/>
        <v>#DIV/0!</v>
      </c>
      <c r="N47" s="54" t="e">
        <f t="shared" si="4"/>
        <v>#DIV/0!</v>
      </c>
      <c r="O47" s="197"/>
      <c r="P47" s="197"/>
      <c r="Q47" s="197"/>
      <c r="R47" s="197"/>
      <c r="S47" s="73" t="e">
        <f t="shared" si="5"/>
        <v>#DIV/0!</v>
      </c>
      <c r="T47" s="73" t="e">
        <f t="shared" si="6"/>
        <v>#DIV/0!</v>
      </c>
      <c r="U47" s="73" t="e">
        <f t="shared" si="7"/>
        <v>#DIV/0!</v>
      </c>
      <c r="V47" s="73" t="e">
        <f t="shared" si="8"/>
        <v>#DIV/0!</v>
      </c>
    </row>
    <row r="48" spans="2:22" ht="14.25" customHeight="1" x14ac:dyDescent="0.2">
      <c r="B48" s="96" t="s">
        <v>145</v>
      </c>
      <c r="C48" s="118" t="s">
        <v>13</v>
      </c>
      <c r="D48" s="118">
        <v>7</v>
      </c>
      <c r="E48" s="96" t="str">
        <f t="shared" si="0"/>
        <v>DIDT</v>
      </c>
      <c r="F48" s="56">
        <v>70</v>
      </c>
      <c r="G48" s="100">
        <v>19.106225318908699</v>
      </c>
      <c r="H48" s="100">
        <v>5.0391902970150101E-2</v>
      </c>
      <c r="I48" s="100">
        <v>1.16718566301036E-3</v>
      </c>
      <c r="J48" s="100">
        <v>3.07840537069855E-6</v>
      </c>
      <c r="K48" s="54" t="e">
        <f t="shared" si="1"/>
        <v>#DIV/0!</v>
      </c>
      <c r="L48" s="54" t="e">
        <f t="shared" si="2"/>
        <v>#DIV/0!</v>
      </c>
      <c r="M48" s="54" t="e">
        <f t="shared" si="3"/>
        <v>#DIV/0!</v>
      </c>
      <c r="N48" s="54" t="e">
        <f t="shared" si="4"/>
        <v>#DIV/0!</v>
      </c>
      <c r="O48" s="197"/>
      <c r="P48" s="197"/>
      <c r="Q48" s="197"/>
      <c r="R48" s="197"/>
      <c r="S48" s="73" t="e">
        <f t="shared" si="5"/>
        <v>#DIV/0!</v>
      </c>
      <c r="T48" s="73" t="e">
        <f t="shared" si="6"/>
        <v>#DIV/0!</v>
      </c>
      <c r="U48" s="73" t="e">
        <f t="shared" si="7"/>
        <v>#DIV/0!</v>
      </c>
      <c r="V48" s="73" t="e">
        <f t="shared" si="8"/>
        <v>#DIV/0!</v>
      </c>
    </row>
    <row r="49" spans="2:22" ht="14.25" customHeight="1" x14ac:dyDescent="0.2">
      <c r="B49" s="96" t="s">
        <v>146</v>
      </c>
      <c r="C49" s="118" t="s">
        <v>13</v>
      </c>
      <c r="D49" s="118">
        <v>8</v>
      </c>
      <c r="E49" s="96" t="str">
        <f t="shared" si="0"/>
        <v>DIDT</v>
      </c>
      <c r="F49" s="56">
        <v>600</v>
      </c>
      <c r="G49" s="100">
        <v>2.2799975723028201</v>
      </c>
      <c r="H49" s="100">
        <v>6.0134021542035E-3</v>
      </c>
      <c r="I49" s="100">
        <v>5.0844597248667501E-4</v>
      </c>
      <c r="J49" s="100">
        <v>1.34100586005103E-6</v>
      </c>
      <c r="K49" s="54" t="e">
        <f t="shared" si="1"/>
        <v>#DIV/0!</v>
      </c>
      <c r="L49" s="54" t="e">
        <f t="shared" si="2"/>
        <v>#DIV/0!</v>
      </c>
      <c r="M49" s="54" t="e">
        <f t="shared" si="3"/>
        <v>#DIV/0!</v>
      </c>
      <c r="N49" s="54" t="e">
        <f t="shared" si="4"/>
        <v>#DIV/0!</v>
      </c>
      <c r="O49" s="197"/>
      <c r="P49" s="197"/>
      <c r="Q49" s="197"/>
      <c r="R49" s="197"/>
      <c r="S49" s="73" t="e">
        <f t="shared" si="5"/>
        <v>#DIV/0!</v>
      </c>
      <c r="T49" s="73" t="e">
        <f t="shared" si="6"/>
        <v>#DIV/0!</v>
      </c>
      <c r="U49" s="73" t="e">
        <f t="shared" si="7"/>
        <v>#DIV/0!</v>
      </c>
      <c r="V49" s="73" t="e">
        <f t="shared" si="8"/>
        <v>#DIV/0!</v>
      </c>
    </row>
    <row r="50" spans="2:22" ht="14.25" customHeight="1" x14ac:dyDescent="0.2">
      <c r="B50" s="96" t="s">
        <v>147</v>
      </c>
      <c r="C50" s="118" t="s">
        <v>13</v>
      </c>
      <c r="D50" s="118">
        <v>14</v>
      </c>
      <c r="E50" s="96" t="str">
        <f t="shared" si="0"/>
        <v>DIDT</v>
      </c>
      <c r="F50" s="56">
        <v>200</v>
      </c>
      <c r="G50" s="100">
        <v>8.4591642117500303</v>
      </c>
      <c r="H50" s="100">
        <v>2.23107063770294E-2</v>
      </c>
      <c r="I50" s="100">
        <v>1.2120439107457101E-3</v>
      </c>
      <c r="J50" s="100">
        <v>3.1967171992045899E-6</v>
      </c>
      <c r="K50" s="54" t="e">
        <f t="shared" si="1"/>
        <v>#DIV/0!</v>
      </c>
      <c r="L50" s="54" t="e">
        <f t="shared" si="2"/>
        <v>#DIV/0!</v>
      </c>
      <c r="M50" s="54" t="e">
        <f t="shared" si="3"/>
        <v>#DIV/0!</v>
      </c>
      <c r="N50" s="54" t="e">
        <f t="shared" si="4"/>
        <v>#DIV/0!</v>
      </c>
      <c r="O50" s="197"/>
      <c r="P50" s="197"/>
      <c r="Q50" s="197"/>
      <c r="R50" s="197"/>
      <c r="S50" s="73" t="e">
        <f t="shared" si="5"/>
        <v>#DIV/0!</v>
      </c>
      <c r="T50" s="73" t="e">
        <f t="shared" si="6"/>
        <v>#DIV/0!</v>
      </c>
      <c r="U50" s="73" t="e">
        <f t="shared" si="7"/>
        <v>#DIV/0!</v>
      </c>
      <c r="V50" s="73" t="e">
        <f t="shared" si="8"/>
        <v>#DIV/0!</v>
      </c>
    </row>
    <row r="51" spans="2:22" ht="14.25" customHeight="1" x14ac:dyDescent="0.2">
      <c r="B51" s="96" t="s">
        <v>148</v>
      </c>
      <c r="C51" s="118" t="s">
        <v>13</v>
      </c>
      <c r="D51" s="118">
        <v>17</v>
      </c>
      <c r="E51" s="96" t="str">
        <f t="shared" si="0"/>
        <v>DIDT</v>
      </c>
      <c r="F51" s="56">
        <v>70</v>
      </c>
      <c r="G51" s="100">
        <v>0.21509627927094699</v>
      </c>
      <c r="H51" s="100">
        <v>5.6730781063379302E-4</v>
      </c>
      <c r="I51" s="100">
        <v>1.26401350140996E-3</v>
      </c>
      <c r="J51" s="100">
        <v>3.33378491362486E-6</v>
      </c>
      <c r="K51" s="54" t="e">
        <f t="shared" si="1"/>
        <v>#DIV/0!</v>
      </c>
      <c r="L51" s="54" t="e">
        <f t="shared" si="2"/>
        <v>#DIV/0!</v>
      </c>
      <c r="M51" s="54" t="e">
        <f t="shared" si="3"/>
        <v>#DIV/0!</v>
      </c>
      <c r="N51" s="54" t="e">
        <f t="shared" si="4"/>
        <v>#DIV/0!</v>
      </c>
      <c r="O51" s="197"/>
      <c r="P51" s="197"/>
      <c r="Q51" s="197"/>
      <c r="R51" s="197"/>
      <c r="S51" s="73" t="e">
        <f t="shared" si="5"/>
        <v>#DIV/0!</v>
      </c>
      <c r="T51" s="73" t="e">
        <f t="shared" si="6"/>
        <v>#DIV/0!</v>
      </c>
      <c r="U51" s="73" t="e">
        <f t="shared" si="7"/>
        <v>#DIV/0!</v>
      </c>
      <c r="V51" s="73" t="e">
        <f t="shared" si="8"/>
        <v>#DIV/0!</v>
      </c>
    </row>
    <row r="52" spans="2:22" ht="14.25" customHeight="1" x14ac:dyDescent="0.2">
      <c r="B52" s="96" t="s">
        <v>149</v>
      </c>
      <c r="C52" s="118" t="s">
        <v>13</v>
      </c>
      <c r="D52" s="118">
        <v>21</v>
      </c>
      <c r="E52" s="96" t="str">
        <f t="shared" si="0"/>
        <v>DIDT</v>
      </c>
      <c r="F52" s="56">
        <v>375</v>
      </c>
      <c r="G52" s="100">
        <v>2.1491999113559701</v>
      </c>
      <c r="H52" s="100">
        <v>5.6684285635128602E-3</v>
      </c>
      <c r="I52" s="100">
        <v>1.0180109889255399E-3</v>
      </c>
      <c r="J52" s="100">
        <v>2.6849631661340401E-6</v>
      </c>
      <c r="K52" s="54" t="e">
        <f t="shared" si="1"/>
        <v>#DIV/0!</v>
      </c>
      <c r="L52" s="54" t="e">
        <f t="shared" si="2"/>
        <v>#DIV/0!</v>
      </c>
      <c r="M52" s="54" t="e">
        <f t="shared" si="3"/>
        <v>#DIV/0!</v>
      </c>
      <c r="N52" s="54" t="e">
        <f t="shared" si="4"/>
        <v>#DIV/0!</v>
      </c>
      <c r="O52" s="197"/>
      <c r="P52" s="197"/>
      <c r="Q52" s="197"/>
      <c r="R52" s="197"/>
      <c r="S52" s="73" t="e">
        <f t="shared" si="5"/>
        <v>#DIV/0!</v>
      </c>
      <c r="T52" s="73" t="e">
        <f t="shared" si="6"/>
        <v>#DIV/0!</v>
      </c>
      <c r="U52" s="73" t="e">
        <f t="shared" si="7"/>
        <v>#DIV/0!</v>
      </c>
      <c r="V52" s="73" t="e">
        <f t="shared" si="8"/>
        <v>#DIV/0!</v>
      </c>
    </row>
    <row r="53" spans="2:22" ht="14.25" customHeight="1" x14ac:dyDescent="0.2">
      <c r="B53" s="96" t="s">
        <v>150</v>
      </c>
      <c r="C53" s="118" t="s">
        <v>13</v>
      </c>
      <c r="D53" s="118">
        <v>26</v>
      </c>
      <c r="E53" s="96" t="str">
        <f t="shared" si="0"/>
        <v>DIDT</v>
      </c>
      <c r="F53" s="56">
        <v>700</v>
      </c>
      <c r="G53" s="100">
        <v>1.33471909880638</v>
      </c>
      <c r="H53" s="100">
        <v>3.5202680970542102E-3</v>
      </c>
      <c r="I53" s="100">
        <v>1.07741437536409E-4</v>
      </c>
      <c r="J53" s="100">
        <v>2.8416372056749801E-7</v>
      </c>
      <c r="K53" s="54" t="e">
        <f t="shared" si="1"/>
        <v>#DIV/0!</v>
      </c>
      <c r="L53" s="54" t="e">
        <f t="shared" si="2"/>
        <v>#DIV/0!</v>
      </c>
      <c r="M53" s="54" t="e">
        <f t="shared" si="3"/>
        <v>#DIV/0!</v>
      </c>
      <c r="N53" s="54" t="e">
        <f t="shared" si="4"/>
        <v>#DIV/0!</v>
      </c>
      <c r="O53" s="197"/>
      <c r="P53" s="197"/>
      <c r="Q53" s="197"/>
      <c r="R53" s="197"/>
      <c r="S53" s="73" t="e">
        <f t="shared" si="5"/>
        <v>#DIV/0!</v>
      </c>
      <c r="T53" s="73" t="e">
        <f t="shared" si="6"/>
        <v>#DIV/0!</v>
      </c>
      <c r="U53" s="73" t="e">
        <f t="shared" si="7"/>
        <v>#DIV/0!</v>
      </c>
      <c r="V53" s="73" t="e">
        <f t="shared" si="8"/>
        <v>#DIV/0!</v>
      </c>
    </row>
    <row r="54" spans="2:22" ht="14.25" customHeight="1" x14ac:dyDescent="0.2">
      <c r="B54" s="96" t="s">
        <v>151</v>
      </c>
      <c r="C54" s="118" t="s">
        <v>13</v>
      </c>
      <c r="D54" s="118">
        <v>30</v>
      </c>
      <c r="E54" s="96" t="str">
        <f t="shared" si="0"/>
        <v>DIDT</v>
      </c>
      <c r="F54" s="56">
        <v>320</v>
      </c>
      <c r="G54" s="100">
        <v>7.6723059892654399</v>
      </c>
      <c r="H54" s="100">
        <v>2.02353993523866E-2</v>
      </c>
      <c r="I54" s="100">
        <v>2.2827539223741801E-4</v>
      </c>
      <c r="J54" s="100">
        <v>6.0206718996920401E-7</v>
      </c>
      <c r="K54" s="54" t="e">
        <f t="shared" si="1"/>
        <v>#DIV/0!</v>
      </c>
      <c r="L54" s="54" t="e">
        <f t="shared" si="2"/>
        <v>#DIV/0!</v>
      </c>
      <c r="M54" s="54" t="e">
        <f t="shared" si="3"/>
        <v>#DIV/0!</v>
      </c>
      <c r="N54" s="54" t="e">
        <f t="shared" si="4"/>
        <v>#DIV/0!</v>
      </c>
      <c r="O54" s="197"/>
      <c r="P54" s="197"/>
      <c r="Q54" s="197"/>
      <c r="R54" s="197"/>
      <c r="S54" s="73" t="e">
        <f t="shared" si="5"/>
        <v>#DIV/0!</v>
      </c>
      <c r="T54" s="73" t="e">
        <f t="shared" si="6"/>
        <v>#DIV/0!</v>
      </c>
      <c r="U54" s="73" t="e">
        <f t="shared" si="7"/>
        <v>#DIV/0!</v>
      </c>
      <c r="V54" s="73" t="e">
        <f t="shared" si="8"/>
        <v>#DIV/0!</v>
      </c>
    </row>
    <row r="55" spans="2:22" ht="14.25" customHeight="1" x14ac:dyDescent="0.2">
      <c r="B55" s="96" t="s">
        <v>152</v>
      </c>
      <c r="C55" s="118" t="s">
        <v>13</v>
      </c>
      <c r="D55" s="118">
        <v>34</v>
      </c>
      <c r="E55" s="96" t="str">
        <f t="shared" si="0"/>
        <v>DIDT</v>
      </c>
      <c r="F55" s="56">
        <v>1200</v>
      </c>
      <c r="G55" s="100">
        <v>0.85314965009689403</v>
      </c>
      <c r="H55" s="100">
        <v>2.2501479880884302E-3</v>
      </c>
      <c r="I55" s="100">
        <v>2.14745583041349E-4</v>
      </c>
      <c r="J55" s="100">
        <v>5.6638286375291602E-7</v>
      </c>
      <c r="K55" s="54" t="e">
        <f t="shared" si="1"/>
        <v>#DIV/0!</v>
      </c>
      <c r="L55" s="54" t="e">
        <f t="shared" si="2"/>
        <v>#DIV/0!</v>
      </c>
      <c r="M55" s="54" t="e">
        <f t="shared" si="3"/>
        <v>#DIV/0!</v>
      </c>
      <c r="N55" s="54" t="e">
        <f t="shared" si="4"/>
        <v>#DIV/0!</v>
      </c>
      <c r="O55" s="197"/>
      <c r="P55" s="197"/>
      <c r="Q55" s="197"/>
      <c r="R55" s="197"/>
      <c r="S55" s="73" t="e">
        <f t="shared" si="5"/>
        <v>#DIV/0!</v>
      </c>
      <c r="T55" s="73" t="e">
        <f t="shared" si="6"/>
        <v>#DIV/0!</v>
      </c>
      <c r="U55" s="73" t="e">
        <f t="shared" si="7"/>
        <v>#DIV/0!</v>
      </c>
      <c r="V55" s="73" t="e">
        <f t="shared" si="8"/>
        <v>#DIV/0!</v>
      </c>
    </row>
    <row r="56" spans="2:22" ht="14.25" customHeight="1" x14ac:dyDescent="0.2">
      <c r="B56" s="96" t="s">
        <v>153</v>
      </c>
      <c r="C56" s="118" t="s">
        <v>13</v>
      </c>
      <c r="D56" s="118">
        <v>40</v>
      </c>
      <c r="E56" s="96" t="str">
        <f t="shared" si="0"/>
        <v>DIDT</v>
      </c>
      <c r="F56" s="56">
        <v>200</v>
      </c>
      <c r="G56" s="100">
        <v>1.47228828072548</v>
      </c>
      <c r="H56" s="100">
        <v>3.8831013027811399E-3</v>
      </c>
      <c r="I56" s="100">
        <v>2.53246125009894E-3</v>
      </c>
      <c r="J56" s="100">
        <v>6.6792649676025998E-6</v>
      </c>
      <c r="K56" s="54" t="e">
        <f t="shared" si="1"/>
        <v>#DIV/0!</v>
      </c>
      <c r="L56" s="54" t="e">
        <f t="shared" si="2"/>
        <v>#DIV/0!</v>
      </c>
      <c r="M56" s="54" t="e">
        <f t="shared" si="3"/>
        <v>#DIV/0!</v>
      </c>
      <c r="N56" s="54" t="e">
        <f t="shared" si="4"/>
        <v>#DIV/0!</v>
      </c>
      <c r="O56" s="197"/>
      <c r="P56" s="197"/>
      <c r="Q56" s="197"/>
      <c r="R56" s="197"/>
      <c r="S56" s="73" t="e">
        <f t="shared" si="5"/>
        <v>#DIV/0!</v>
      </c>
      <c r="T56" s="73" t="e">
        <f t="shared" si="6"/>
        <v>#DIV/0!</v>
      </c>
      <c r="U56" s="73" t="e">
        <f t="shared" si="7"/>
        <v>#DIV/0!</v>
      </c>
      <c r="V56" s="73" t="e">
        <f t="shared" si="8"/>
        <v>#DIV/0!</v>
      </c>
    </row>
    <row r="57" spans="2:22" ht="14.25" customHeight="1" x14ac:dyDescent="0.2">
      <c r="B57" s="96" t="s">
        <v>154</v>
      </c>
      <c r="C57" s="118" t="s">
        <v>13</v>
      </c>
      <c r="D57" s="118">
        <v>42</v>
      </c>
      <c r="E57" s="96" t="str">
        <f t="shared" si="0"/>
        <v>DIDT</v>
      </c>
      <c r="F57" s="56">
        <v>350</v>
      </c>
      <c r="G57" s="100">
        <v>0.83726516231894499</v>
      </c>
      <c r="H57" s="100">
        <v>2.2082532814238199E-3</v>
      </c>
      <c r="I57" s="100">
        <v>2.53832028198215E-3</v>
      </c>
      <c r="J57" s="100">
        <v>6.6947179500655601E-6</v>
      </c>
      <c r="K57" s="54" t="e">
        <f t="shared" si="1"/>
        <v>#DIV/0!</v>
      </c>
      <c r="L57" s="54" t="e">
        <f t="shared" si="2"/>
        <v>#DIV/0!</v>
      </c>
      <c r="M57" s="54" t="e">
        <f t="shared" si="3"/>
        <v>#DIV/0!</v>
      </c>
      <c r="N57" s="54" t="e">
        <f t="shared" si="4"/>
        <v>#DIV/0!</v>
      </c>
      <c r="O57" s="197"/>
      <c r="P57" s="197"/>
      <c r="Q57" s="197"/>
      <c r="R57" s="197"/>
      <c r="S57" s="73" t="e">
        <f t="shared" si="5"/>
        <v>#DIV/0!</v>
      </c>
      <c r="T57" s="73" t="e">
        <f t="shared" si="6"/>
        <v>#DIV/0!</v>
      </c>
      <c r="U57" s="73" t="e">
        <f t="shared" si="7"/>
        <v>#DIV/0!</v>
      </c>
      <c r="V57" s="73" t="e">
        <f t="shared" si="8"/>
        <v>#DIV/0!</v>
      </c>
    </row>
    <row r="58" spans="2:22" ht="14.25" customHeight="1" x14ac:dyDescent="0.2">
      <c r="B58" s="96" t="s">
        <v>155</v>
      </c>
      <c r="C58" s="118" t="s">
        <v>13</v>
      </c>
      <c r="D58" s="118">
        <v>44</v>
      </c>
      <c r="E58" s="96" t="str">
        <f t="shared" si="0"/>
        <v>DIDT</v>
      </c>
      <c r="F58" s="56">
        <v>500</v>
      </c>
      <c r="G58" s="100">
        <v>2.5039717149734502</v>
      </c>
      <c r="H58" s="100">
        <v>6.6041249874979301E-3</v>
      </c>
      <c r="I58" s="100">
        <v>3.7140107309217803E-4</v>
      </c>
      <c r="J58" s="100">
        <v>9.7955544209327193E-7</v>
      </c>
      <c r="K58" s="54" t="e">
        <f t="shared" si="1"/>
        <v>#DIV/0!</v>
      </c>
      <c r="L58" s="54" t="e">
        <f t="shared" si="2"/>
        <v>#DIV/0!</v>
      </c>
      <c r="M58" s="54" t="e">
        <f t="shared" si="3"/>
        <v>#DIV/0!</v>
      </c>
      <c r="N58" s="54" t="e">
        <f t="shared" si="4"/>
        <v>#DIV/0!</v>
      </c>
      <c r="O58" s="197"/>
      <c r="P58" s="197"/>
      <c r="Q58" s="197"/>
      <c r="R58" s="197"/>
      <c r="S58" s="73" t="e">
        <f t="shared" si="5"/>
        <v>#DIV/0!</v>
      </c>
      <c r="T58" s="73" t="e">
        <f t="shared" si="6"/>
        <v>#DIV/0!</v>
      </c>
      <c r="U58" s="73" t="e">
        <f t="shared" si="7"/>
        <v>#DIV/0!</v>
      </c>
      <c r="V58" s="73" t="e">
        <f t="shared" si="8"/>
        <v>#DIV/0!</v>
      </c>
    </row>
    <row r="59" spans="2:22" ht="14.25" customHeight="1" x14ac:dyDescent="0.2">
      <c r="B59" s="96" t="s">
        <v>156</v>
      </c>
      <c r="C59" s="118" t="s">
        <v>13</v>
      </c>
      <c r="D59" s="118">
        <v>45</v>
      </c>
      <c r="E59" s="96" t="str">
        <f t="shared" si="0"/>
        <v>DIDT</v>
      </c>
      <c r="F59" s="56">
        <v>160</v>
      </c>
      <c r="G59" s="100">
        <v>1.4267606496810901</v>
      </c>
      <c r="H59" s="100">
        <v>3.7630240048747501E-3</v>
      </c>
      <c r="I59" s="100">
        <v>2.9551940039785501E-3</v>
      </c>
      <c r="J59" s="100">
        <v>7.7942056734148196E-6</v>
      </c>
      <c r="K59" s="54" t="e">
        <f t="shared" si="1"/>
        <v>#DIV/0!</v>
      </c>
      <c r="L59" s="54" t="e">
        <f t="shared" si="2"/>
        <v>#DIV/0!</v>
      </c>
      <c r="M59" s="54" t="e">
        <f t="shared" si="3"/>
        <v>#DIV/0!</v>
      </c>
      <c r="N59" s="54" t="e">
        <f t="shared" si="4"/>
        <v>#DIV/0!</v>
      </c>
      <c r="O59" s="197"/>
      <c r="P59" s="197"/>
      <c r="Q59" s="197"/>
      <c r="R59" s="197"/>
      <c r="S59" s="73" t="e">
        <f t="shared" si="5"/>
        <v>#DIV/0!</v>
      </c>
      <c r="T59" s="73" t="e">
        <f t="shared" si="6"/>
        <v>#DIV/0!</v>
      </c>
      <c r="U59" s="73" t="e">
        <f t="shared" si="7"/>
        <v>#DIV/0!</v>
      </c>
      <c r="V59" s="73" t="e">
        <f t="shared" si="8"/>
        <v>#DIV/0!</v>
      </c>
    </row>
    <row r="60" spans="2:22" ht="14.25" customHeight="1" x14ac:dyDescent="0.2">
      <c r="B60" s="96" t="s">
        <v>157</v>
      </c>
      <c r="C60" s="118" t="s">
        <v>13</v>
      </c>
      <c r="D60" s="118">
        <v>46</v>
      </c>
      <c r="E60" s="96" t="str">
        <f t="shared" si="0"/>
        <v>DIDT</v>
      </c>
      <c r="F60" s="56">
        <v>450</v>
      </c>
      <c r="G60" s="100">
        <v>1.33912953495979</v>
      </c>
      <c r="H60" s="100">
        <v>3.53190043475479E-3</v>
      </c>
      <c r="I60" s="100">
        <v>5.3330239293235E-5</v>
      </c>
      <c r="J60" s="100">
        <v>1.4065636718788101E-7</v>
      </c>
      <c r="K60" s="54" t="e">
        <f t="shared" si="1"/>
        <v>#DIV/0!</v>
      </c>
      <c r="L60" s="54" t="e">
        <f t="shared" si="2"/>
        <v>#DIV/0!</v>
      </c>
      <c r="M60" s="54" t="e">
        <f t="shared" si="3"/>
        <v>#DIV/0!</v>
      </c>
      <c r="N60" s="54" t="e">
        <f t="shared" si="4"/>
        <v>#DIV/0!</v>
      </c>
      <c r="O60" s="197"/>
      <c r="P60" s="197"/>
      <c r="Q60" s="197"/>
      <c r="R60" s="197"/>
      <c r="S60" s="73" t="e">
        <f t="shared" si="5"/>
        <v>#DIV/0!</v>
      </c>
      <c r="T60" s="73" t="e">
        <f t="shared" si="6"/>
        <v>#DIV/0!</v>
      </c>
      <c r="U60" s="73" t="e">
        <f t="shared" si="7"/>
        <v>#DIV/0!</v>
      </c>
      <c r="V60" s="73" t="e">
        <f t="shared" si="8"/>
        <v>#DIV/0!</v>
      </c>
    </row>
    <row r="61" spans="2:22" ht="14.25" customHeight="1" x14ac:dyDescent="0.2">
      <c r="B61" s="96" t="s">
        <v>158</v>
      </c>
      <c r="C61" s="118" t="s">
        <v>13</v>
      </c>
      <c r="D61" s="118">
        <v>48</v>
      </c>
      <c r="E61" s="96" t="str">
        <f t="shared" si="0"/>
        <v>DIDT</v>
      </c>
      <c r="F61" s="56">
        <v>365</v>
      </c>
      <c r="G61" s="100">
        <v>2.5978986024856598</v>
      </c>
      <c r="H61" s="100">
        <v>6.8518533953465504E-3</v>
      </c>
      <c r="I61" s="100">
        <v>2.6378112921116199E-4</v>
      </c>
      <c r="J61" s="100">
        <v>6.9571215172025E-7</v>
      </c>
      <c r="K61" s="54" t="e">
        <f t="shared" si="1"/>
        <v>#DIV/0!</v>
      </c>
      <c r="L61" s="54" t="e">
        <f t="shared" si="2"/>
        <v>#DIV/0!</v>
      </c>
      <c r="M61" s="54" t="e">
        <f t="shared" si="3"/>
        <v>#DIV/0!</v>
      </c>
      <c r="N61" s="54" t="e">
        <f t="shared" si="4"/>
        <v>#DIV/0!</v>
      </c>
      <c r="O61" s="197"/>
      <c r="P61" s="197"/>
      <c r="Q61" s="197"/>
      <c r="R61" s="197"/>
      <c r="S61" s="73" t="e">
        <f t="shared" si="5"/>
        <v>#DIV/0!</v>
      </c>
      <c r="T61" s="73" t="e">
        <f t="shared" si="6"/>
        <v>#DIV/0!</v>
      </c>
      <c r="U61" s="73" t="e">
        <f t="shared" si="7"/>
        <v>#DIV/0!</v>
      </c>
      <c r="V61" s="73" t="e">
        <f t="shared" si="8"/>
        <v>#DIV/0!</v>
      </c>
    </row>
    <row r="62" spans="2:22" ht="14.25" customHeight="1" x14ac:dyDescent="0.2">
      <c r="B62" s="96" t="s">
        <v>159</v>
      </c>
      <c r="C62" s="118" t="s">
        <v>160</v>
      </c>
      <c r="D62" s="118">
        <v>1</v>
      </c>
      <c r="E62" s="96" t="str">
        <f t="shared" si="0"/>
        <v>DIDT</v>
      </c>
      <c r="F62" s="56">
        <v>54</v>
      </c>
      <c r="G62" s="100">
        <v>1.1593111748993401</v>
      </c>
      <c r="H62" s="100">
        <v>9.2306016624206695E-4</v>
      </c>
      <c r="I62" s="100">
        <v>2.16781325016519E-3</v>
      </c>
      <c r="J62" s="100">
        <v>1.72604396626595E-6</v>
      </c>
      <c r="K62" s="54" t="e">
        <f t="shared" si="1"/>
        <v>#DIV/0!</v>
      </c>
      <c r="L62" s="54" t="e">
        <f t="shared" si="2"/>
        <v>#DIV/0!</v>
      </c>
      <c r="M62" s="54" t="e">
        <f t="shared" si="3"/>
        <v>#DIV/0!</v>
      </c>
      <c r="N62" s="54" t="e">
        <f t="shared" si="4"/>
        <v>#DIV/0!</v>
      </c>
      <c r="O62" s="197"/>
      <c r="P62" s="197"/>
      <c r="Q62" s="197"/>
      <c r="R62" s="197"/>
      <c r="S62" s="73" t="e">
        <f t="shared" si="5"/>
        <v>#DIV/0!</v>
      </c>
      <c r="T62" s="73" t="e">
        <f t="shared" si="6"/>
        <v>#DIV/0!</v>
      </c>
      <c r="U62" s="73" t="e">
        <f t="shared" si="7"/>
        <v>#DIV/0!</v>
      </c>
      <c r="V62" s="73" t="e">
        <f t="shared" si="8"/>
        <v>#DIV/0!</v>
      </c>
    </row>
    <row r="63" spans="2:22" ht="14.25" customHeight="1" x14ac:dyDescent="0.2">
      <c r="B63" s="96" t="s">
        <v>161</v>
      </c>
      <c r="C63" s="118" t="s">
        <v>160</v>
      </c>
      <c r="D63" s="118">
        <v>2</v>
      </c>
      <c r="E63" s="96" t="str">
        <f t="shared" si="0"/>
        <v>DIDT</v>
      </c>
      <c r="F63" s="56">
        <v>400</v>
      </c>
      <c r="G63" s="100">
        <v>2.6329272198677098</v>
      </c>
      <c r="H63" s="100">
        <v>5.2672725729644302E-3</v>
      </c>
      <c r="I63" s="100">
        <v>3.97779519313002E-5</v>
      </c>
      <c r="J63" s="100">
        <v>7.9577329572427606E-8</v>
      </c>
      <c r="K63" s="54" t="e">
        <f t="shared" si="1"/>
        <v>#DIV/0!</v>
      </c>
      <c r="L63" s="54" t="e">
        <f t="shared" si="2"/>
        <v>#DIV/0!</v>
      </c>
      <c r="M63" s="54" t="e">
        <f t="shared" si="3"/>
        <v>#DIV/0!</v>
      </c>
      <c r="N63" s="54" t="e">
        <f t="shared" si="4"/>
        <v>#DIV/0!</v>
      </c>
      <c r="O63" s="197"/>
      <c r="P63" s="197"/>
      <c r="Q63" s="197"/>
      <c r="R63" s="197"/>
      <c r="S63" s="73" t="e">
        <f t="shared" si="5"/>
        <v>#DIV/0!</v>
      </c>
      <c r="T63" s="73" t="e">
        <f t="shared" si="6"/>
        <v>#DIV/0!</v>
      </c>
      <c r="U63" s="73" t="e">
        <f t="shared" si="7"/>
        <v>#DIV/0!</v>
      </c>
      <c r="V63" s="73" t="e">
        <f t="shared" si="8"/>
        <v>#DIV/0!</v>
      </c>
    </row>
    <row r="64" spans="2:22" ht="14.25" customHeight="1" x14ac:dyDescent="0.2">
      <c r="B64" s="96" t="s">
        <v>162</v>
      </c>
      <c r="C64" s="118" t="s">
        <v>160</v>
      </c>
      <c r="D64" s="118">
        <v>3</v>
      </c>
      <c r="E64" s="96" t="str">
        <f t="shared" si="0"/>
        <v>DIDT</v>
      </c>
      <c r="F64" s="56">
        <v>180</v>
      </c>
      <c r="G64" s="100">
        <v>2.3549818433821201E-3</v>
      </c>
      <c r="H64" s="100">
        <v>4.71123215512697E-6</v>
      </c>
      <c r="I64" s="100">
        <v>1.4012593135415399E-4</v>
      </c>
      <c r="J64" s="100">
        <v>2.8032733708444002E-7</v>
      </c>
      <c r="K64" s="54" t="e">
        <f t="shared" si="1"/>
        <v>#DIV/0!</v>
      </c>
      <c r="L64" s="54" t="e">
        <f t="shared" si="2"/>
        <v>#DIV/0!</v>
      </c>
      <c r="M64" s="54" t="e">
        <f t="shared" si="3"/>
        <v>#DIV/0!</v>
      </c>
      <c r="N64" s="54" t="e">
        <f t="shared" si="4"/>
        <v>#DIV/0!</v>
      </c>
      <c r="O64" s="197"/>
      <c r="P64" s="197"/>
      <c r="Q64" s="197"/>
      <c r="R64" s="197"/>
      <c r="S64" s="73" t="e">
        <f t="shared" si="5"/>
        <v>#DIV/0!</v>
      </c>
      <c r="T64" s="73" t="e">
        <f t="shared" si="6"/>
        <v>#DIV/0!</v>
      </c>
      <c r="U64" s="73" t="e">
        <f t="shared" si="7"/>
        <v>#DIV/0!</v>
      </c>
      <c r="V64" s="73" t="e">
        <f t="shared" si="8"/>
        <v>#DIV/0!</v>
      </c>
    </row>
    <row r="65" spans="1:22" ht="14.25" customHeight="1" x14ac:dyDescent="0.2">
      <c r="B65" s="96" t="s">
        <v>163</v>
      </c>
      <c r="C65" s="118" t="s">
        <v>160</v>
      </c>
      <c r="D65" s="118">
        <v>4</v>
      </c>
      <c r="E65" s="96" t="str">
        <f t="shared" si="0"/>
        <v>DIDT</v>
      </c>
      <c r="F65" s="56">
        <v>85</v>
      </c>
      <c r="G65" s="100">
        <v>8.4865613687038408</v>
      </c>
      <c r="H65" s="100">
        <v>2.6008937978185698E-2</v>
      </c>
      <c r="I65" s="100">
        <v>2.7831448624087798E-3</v>
      </c>
      <c r="J65" s="100">
        <v>8.5295609288457702E-6</v>
      </c>
      <c r="K65" s="54" t="e">
        <f t="shared" si="1"/>
        <v>#DIV/0!</v>
      </c>
      <c r="L65" s="54" t="e">
        <f t="shared" si="2"/>
        <v>#DIV/0!</v>
      </c>
      <c r="M65" s="54" t="e">
        <f t="shared" si="3"/>
        <v>#DIV/0!</v>
      </c>
      <c r="N65" s="54" t="e">
        <f t="shared" si="4"/>
        <v>#DIV/0!</v>
      </c>
      <c r="O65" s="197"/>
      <c r="P65" s="197"/>
      <c r="Q65" s="197"/>
      <c r="R65" s="197"/>
      <c r="S65" s="73" t="e">
        <f t="shared" si="5"/>
        <v>#DIV/0!</v>
      </c>
      <c r="T65" s="73" t="e">
        <f t="shared" si="6"/>
        <v>#DIV/0!</v>
      </c>
      <c r="U65" s="73" t="e">
        <f t="shared" si="7"/>
        <v>#DIV/0!</v>
      </c>
      <c r="V65" s="73" t="e">
        <f t="shared" si="8"/>
        <v>#DIV/0!</v>
      </c>
    </row>
    <row r="66" spans="1:22" ht="14.25" customHeight="1" x14ac:dyDescent="0.2">
      <c r="B66" s="96" t="s">
        <v>164</v>
      </c>
      <c r="C66" s="118" t="s">
        <v>160</v>
      </c>
      <c r="D66" s="118">
        <v>5</v>
      </c>
      <c r="E66" s="96" t="str">
        <f t="shared" si="0"/>
        <v>DIDT</v>
      </c>
      <c r="F66" s="56">
        <v>80</v>
      </c>
      <c r="G66" s="100">
        <v>23.610500335693398</v>
      </c>
      <c r="H66" s="100">
        <v>4.7233718410134302E-2</v>
      </c>
      <c r="I66" s="100">
        <v>1.4879949854032501E-4</v>
      </c>
      <c r="J66" s="100">
        <v>2.9767914498798301E-7</v>
      </c>
      <c r="K66" s="54" t="e">
        <f t="shared" si="1"/>
        <v>#DIV/0!</v>
      </c>
      <c r="L66" s="54" t="e">
        <f t="shared" si="2"/>
        <v>#DIV/0!</v>
      </c>
      <c r="M66" s="54" t="e">
        <f t="shared" si="3"/>
        <v>#DIV/0!</v>
      </c>
      <c r="N66" s="54" t="e">
        <f t="shared" si="4"/>
        <v>#DIV/0!</v>
      </c>
      <c r="O66" s="197"/>
      <c r="P66" s="197"/>
      <c r="Q66" s="197"/>
      <c r="R66" s="197"/>
      <c r="S66" s="73" t="e">
        <f t="shared" si="5"/>
        <v>#DIV/0!</v>
      </c>
      <c r="T66" s="73" t="e">
        <f t="shared" si="6"/>
        <v>#DIV/0!</v>
      </c>
      <c r="U66" s="73" t="e">
        <f t="shared" si="7"/>
        <v>#DIV/0!</v>
      </c>
      <c r="V66" s="73" t="e">
        <f t="shared" si="8"/>
        <v>#DIV/0!</v>
      </c>
    </row>
    <row r="67" spans="1:22" x14ac:dyDescent="0.2">
      <c r="B67" s="194" t="s">
        <v>14</v>
      </c>
      <c r="C67" s="194"/>
      <c r="D67" s="194"/>
      <c r="E67" s="194"/>
      <c r="F67" s="116"/>
      <c r="G67" s="116"/>
      <c r="H67" s="116"/>
      <c r="I67" s="116"/>
      <c r="J67" s="116"/>
      <c r="K67" s="74" t="e">
        <f>MAX($K$21:$K$66)</f>
        <v>#DIV/0!</v>
      </c>
      <c r="L67" s="74" t="e">
        <f>MAX($L$21:$L$66)</f>
        <v>#DIV/0!</v>
      </c>
      <c r="M67" s="74" t="e">
        <f>MAX($M$21:$M$66)</f>
        <v>#DIV/0!</v>
      </c>
      <c r="N67" s="74" t="e">
        <f>MAX($N$21:$N$66)</f>
        <v>#DIV/0!</v>
      </c>
      <c r="O67" s="74"/>
      <c r="P67" s="74"/>
      <c r="Q67" s="74"/>
      <c r="R67" s="74"/>
      <c r="S67" s="74" t="e">
        <f>MAX($S$21:$S$66)</f>
        <v>#DIV/0!</v>
      </c>
      <c r="T67" s="74" t="e">
        <f>MAX($T$21:$T$66)</f>
        <v>#DIV/0!</v>
      </c>
      <c r="U67" s="74" t="e">
        <f>MAX($U$21:$U$66)</f>
        <v>#DIV/0!</v>
      </c>
      <c r="V67" s="74" t="e">
        <f>MAX($V$21:$V$66)</f>
        <v>#DIV/0!</v>
      </c>
    </row>
    <row r="68" spans="1:22" x14ac:dyDescent="0.2">
      <c r="B68" s="194" t="s">
        <v>15</v>
      </c>
      <c r="C68" s="194"/>
      <c r="D68" s="194"/>
      <c r="E68" s="194"/>
      <c r="F68" s="116"/>
      <c r="G68" s="116"/>
      <c r="H68" s="116"/>
      <c r="I68" s="116"/>
      <c r="J68" s="116"/>
      <c r="K68" s="74" t="e">
        <f>MIN($K$21:$K$66)</f>
        <v>#DIV/0!</v>
      </c>
      <c r="L68" s="74" t="e">
        <f>MIN($L$21:$L$66)</f>
        <v>#DIV/0!</v>
      </c>
      <c r="M68" s="74" t="e">
        <f>MIN($M$21:$M$66)</f>
        <v>#DIV/0!</v>
      </c>
      <c r="N68" s="74" t="e">
        <f>MIN($N$21:$N$66)</f>
        <v>#DIV/0!</v>
      </c>
      <c r="O68" s="74"/>
      <c r="P68" s="74"/>
      <c r="Q68" s="74"/>
      <c r="R68" s="74"/>
      <c r="S68" s="74" t="e">
        <f>MIN($S$21:$S$66)</f>
        <v>#DIV/0!</v>
      </c>
      <c r="T68" s="74" t="e">
        <f>MIN($T$21:$T$66)</f>
        <v>#DIV/0!</v>
      </c>
      <c r="U68" s="74" t="e">
        <f>MIN($U$21:$U$66)</f>
        <v>#DIV/0!</v>
      </c>
      <c r="V68" s="74" t="e">
        <f>MIN($V$21:$V$66)</f>
        <v>#DIV/0!</v>
      </c>
    </row>
    <row r="69" spans="1:22" x14ac:dyDescent="0.2">
      <c r="A69" s="91"/>
      <c r="B69" s="17"/>
      <c r="C69" s="17"/>
      <c r="D69" s="17"/>
      <c r="E69" s="116" t="s">
        <v>96</v>
      </c>
      <c r="F69" s="17"/>
      <c r="G69" s="17"/>
      <c r="H69" s="17"/>
      <c r="I69" s="17"/>
      <c r="J69" s="17"/>
      <c r="K69" s="74" t="e">
        <f>_xlfn.PERCENTILE.INC(K$21:K$66,0.9)</f>
        <v>#DIV/0!</v>
      </c>
      <c r="L69" s="74" t="e">
        <f>_xlfn.PERCENTILE.INC(L$21:L$66,0.9)</f>
        <v>#DIV/0!</v>
      </c>
      <c r="M69" s="74" t="e">
        <f>_xlfn.PERCENTILE.INC(M$21:M$66,0.9)</f>
        <v>#DIV/0!</v>
      </c>
      <c r="N69" s="74" t="e">
        <f>_xlfn.PERCENTILE.INC(N$21:N$66,0.9)</f>
        <v>#DIV/0!</v>
      </c>
      <c r="O69" s="74"/>
      <c r="P69" s="74"/>
      <c r="Q69" s="74"/>
      <c r="R69" s="74"/>
      <c r="S69" s="74" t="e">
        <f>_xlfn.PERCENTILE.INC(S$21:S$66,0.9)</f>
        <v>#DIV/0!</v>
      </c>
      <c r="T69" s="74" t="e">
        <f>_xlfn.PERCENTILE.INC(T$21:T$66,0.9)</f>
        <v>#DIV/0!</v>
      </c>
      <c r="U69" s="74" t="e">
        <f>_xlfn.PERCENTILE.INC(U$21:U$66,0.9)</f>
        <v>#DIV/0!</v>
      </c>
      <c r="V69" s="74" t="e">
        <f>_xlfn.PERCENTILE.INC(V$21:V$66,0.9)</f>
        <v>#DIV/0!</v>
      </c>
    </row>
    <row r="70" spans="1:22" x14ac:dyDescent="0.2">
      <c r="B70" s="17"/>
      <c r="C70" s="17"/>
      <c r="D70" s="17"/>
      <c r="E70" s="116" t="s">
        <v>97</v>
      </c>
      <c r="F70" s="17"/>
      <c r="G70" s="17"/>
      <c r="H70" s="17"/>
      <c r="I70" s="17"/>
      <c r="J70" s="17"/>
      <c r="K70" s="74" t="e">
        <f>_xlfn.PERCENTILE.INC(K$21:K$66,0.8)</f>
        <v>#DIV/0!</v>
      </c>
      <c r="L70" s="74" t="e">
        <f>_xlfn.PERCENTILE.INC(L$21:L$66,0.8)</f>
        <v>#DIV/0!</v>
      </c>
      <c r="M70" s="74" t="e">
        <f>_xlfn.PERCENTILE.INC(M$21:M$66,0.8)</f>
        <v>#DIV/0!</v>
      </c>
      <c r="N70" s="74" t="e">
        <f>_xlfn.PERCENTILE.INC(N$21:N$66,0.8)</f>
        <v>#DIV/0!</v>
      </c>
      <c r="O70" s="74"/>
      <c r="P70" s="74"/>
      <c r="Q70" s="74"/>
      <c r="R70" s="74"/>
      <c r="S70" s="74" t="e">
        <f>_xlfn.PERCENTILE.INC(S$21:S$66,0.8)</f>
        <v>#DIV/0!</v>
      </c>
      <c r="T70" s="74" t="e">
        <f>_xlfn.PERCENTILE.INC(T$21:T$66,0.8)</f>
        <v>#DIV/0!</v>
      </c>
      <c r="U70" s="74" t="e">
        <f>_xlfn.PERCENTILE.INC(U$21:U$66,0.8)</f>
        <v>#DIV/0!</v>
      </c>
      <c r="V70" s="74" t="e">
        <f>_xlfn.PERCENTILE.INC(V$21:V$66,0.8)</f>
        <v>#DIV/0!</v>
      </c>
    </row>
    <row r="71" spans="1:22" x14ac:dyDescent="0.2">
      <c r="B71" s="17"/>
      <c r="C71" s="17"/>
      <c r="D71" s="17"/>
      <c r="E71" s="116" t="s">
        <v>98</v>
      </c>
      <c r="F71" s="17"/>
      <c r="G71" s="17"/>
      <c r="H71" s="17"/>
      <c r="I71" s="17"/>
      <c r="J71" s="17"/>
      <c r="K71" s="74" t="e">
        <f>_xlfn.PERCENTILE.INC(K$21:K$66,0.75)</f>
        <v>#DIV/0!</v>
      </c>
      <c r="L71" s="74" t="e">
        <f>_xlfn.PERCENTILE.INC(L$21:L$66,0.75)</f>
        <v>#DIV/0!</v>
      </c>
      <c r="M71" s="74" t="e">
        <f>_xlfn.PERCENTILE.INC(M$21:M$66,0.75)</f>
        <v>#DIV/0!</v>
      </c>
      <c r="N71" s="74" t="e">
        <f>_xlfn.PERCENTILE.INC(N$21:N$66,0.75)</f>
        <v>#DIV/0!</v>
      </c>
      <c r="O71" s="74"/>
      <c r="P71" s="74"/>
      <c r="Q71" s="74"/>
      <c r="R71" s="74"/>
      <c r="S71" s="74" t="e">
        <f>_xlfn.PERCENTILE.INC(S$21:S$66,0.75)</f>
        <v>#DIV/0!</v>
      </c>
      <c r="T71" s="74" t="e">
        <f>_xlfn.PERCENTILE.INC(T$21:T$66,0.75)</f>
        <v>#DIV/0!</v>
      </c>
      <c r="U71" s="74" t="e">
        <f>_xlfn.PERCENTILE.INC(U$21:U$66,0.75)</f>
        <v>#DIV/0!</v>
      </c>
      <c r="V71" s="74" t="e">
        <f>_xlfn.PERCENTILE.INC(V$21:V$66,0.75)</f>
        <v>#DIV/0!</v>
      </c>
    </row>
    <row r="72" spans="1:22" x14ac:dyDescent="0.2">
      <c r="B72" s="17"/>
      <c r="C72" s="17"/>
      <c r="D72" s="17"/>
      <c r="E72" s="116" t="s">
        <v>99</v>
      </c>
      <c r="F72" s="17"/>
      <c r="G72" s="17"/>
      <c r="H72" s="17"/>
      <c r="I72" s="17"/>
      <c r="J72" s="17"/>
      <c r="K72" s="74" t="e">
        <f>_xlfn.PERCENTILE.INC(K$21:K$66,0.5)</f>
        <v>#DIV/0!</v>
      </c>
      <c r="L72" s="74" t="e">
        <f>_xlfn.PERCENTILE.INC(L$21:L$66,0.5)</f>
        <v>#DIV/0!</v>
      </c>
      <c r="M72" s="74" t="e">
        <f>_xlfn.PERCENTILE.INC(M$21:M$66,0.5)</f>
        <v>#DIV/0!</v>
      </c>
      <c r="N72" s="74" t="e">
        <f>_xlfn.PERCENTILE.INC(N$21:N$66,0.5)</f>
        <v>#DIV/0!</v>
      </c>
      <c r="O72" s="74"/>
      <c r="P72" s="74"/>
      <c r="Q72" s="74"/>
      <c r="R72" s="74"/>
      <c r="S72" s="74" t="e">
        <f>_xlfn.PERCENTILE.INC(S$21:S$66,0.5)</f>
        <v>#DIV/0!</v>
      </c>
      <c r="T72" s="74" t="e">
        <f>_xlfn.PERCENTILE.INC(T$21:T$66,0.5)</f>
        <v>#DIV/0!</v>
      </c>
      <c r="U72" s="74" t="e">
        <f>_xlfn.PERCENTILE.INC(U$21:U$66,0.5)</f>
        <v>#DIV/0!</v>
      </c>
      <c r="V72" s="74" t="e">
        <f>_xlfn.PERCENTILE.INC(V$21:V$66,0.5)</f>
        <v>#DIV/0!</v>
      </c>
    </row>
    <row r="73" spans="1:22" x14ac:dyDescent="0.2">
      <c r="B73" s="17"/>
      <c r="C73" s="17"/>
      <c r="D73" s="17"/>
      <c r="E73" s="116" t="s">
        <v>100</v>
      </c>
      <c r="F73" s="17"/>
      <c r="G73" s="17"/>
      <c r="H73" s="17"/>
      <c r="I73" s="17"/>
      <c r="J73" s="17"/>
      <c r="K73" s="74" t="e">
        <f>_xlfn.PERCENTILE.INC(K$21:K$66,0.25)</f>
        <v>#DIV/0!</v>
      </c>
      <c r="L73" s="74" t="e">
        <f>_xlfn.PERCENTILE.INC(L$21:L$66,0.25)</f>
        <v>#DIV/0!</v>
      </c>
      <c r="M73" s="74" t="e">
        <f>_xlfn.PERCENTILE.INC(M$21:M$66,0.25)</f>
        <v>#DIV/0!</v>
      </c>
      <c r="N73" s="74" t="e">
        <f>_xlfn.PERCENTILE.INC(N$21:N$66,0.25)</f>
        <v>#DIV/0!</v>
      </c>
      <c r="O73" s="74"/>
      <c r="P73" s="74"/>
      <c r="Q73" s="74"/>
      <c r="R73" s="74"/>
      <c r="S73" s="74" t="e">
        <f>_xlfn.PERCENTILE.INC(S$21:S$66,0.25)</f>
        <v>#DIV/0!</v>
      </c>
      <c r="T73" s="74" t="e">
        <f>_xlfn.PERCENTILE.INC(T$21:T$66,0.25)</f>
        <v>#DIV/0!</v>
      </c>
      <c r="U73" s="74" t="e">
        <f>_xlfn.PERCENTILE.INC(U$21:U$66,0.25)</f>
        <v>#DIV/0!</v>
      </c>
      <c r="V73" s="74" t="e">
        <f>_xlfn.PERCENTILE.INC(V$21:V$66,0.25)</f>
        <v>#DIV/0!</v>
      </c>
    </row>
    <row r="74" spans="1:22" x14ac:dyDescent="0.2">
      <c r="B74" s="17"/>
      <c r="C74" s="17"/>
      <c r="D74" s="17"/>
      <c r="E74" s="116" t="s">
        <v>101</v>
      </c>
      <c r="F74" s="17"/>
      <c r="G74" s="17"/>
      <c r="H74" s="17"/>
      <c r="I74" s="17"/>
      <c r="J74" s="17"/>
      <c r="K74" s="74" t="e">
        <f>_xlfn.PERCENTILE.INC(K$21:K$66,0.1)</f>
        <v>#DIV/0!</v>
      </c>
      <c r="L74" s="74" t="e">
        <f>_xlfn.PERCENTILE.INC(L$21:L$66,0.1)</f>
        <v>#DIV/0!</v>
      </c>
      <c r="M74" s="74" t="e">
        <f>_xlfn.PERCENTILE.INC(M$21:M$66,0.1)</f>
        <v>#DIV/0!</v>
      </c>
      <c r="N74" s="74" t="e">
        <f>_xlfn.PERCENTILE.INC(N$21:N$66,0.1)</f>
        <v>#DIV/0!</v>
      </c>
      <c r="O74" s="74"/>
      <c r="P74" s="74"/>
      <c r="Q74" s="74"/>
      <c r="R74" s="74"/>
      <c r="S74" s="74" t="e">
        <f>_xlfn.PERCENTILE.INC(S$21:S$66,0.1)</f>
        <v>#DIV/0!</v>
      </c>
      <c r="T74" s="74" t="e">
        <f>_xlfn.PERCENTILE.INC(T$21:T$66,0.1)</f>
        <v>#DIV/0!</v>
      </c>
      <c r="U74" s="74" t="e">
        <f>_xlfn.PERCENTILE.INC(U$21:U$66,0.1)</f>
        <v>#DIV/0!</v>
      </c>
      <c r="V74" s="74" t="e">
        <f>_xlfn.PERCENTILE.INC(V$21:V$66,0.1)</f>
        <v>#DIV/0!</v>
      </c>
    </row>
  </sheetData>
  <mergeCells count="11">
    <mergeCell ref="B67:E67"/>
    <mergeCell ref="B68:E68"/>
    <mergeCell ref="B2:R2"/>
    <mergeCell ref="B4:H4"/>
    <mergeCell ref="K4:Q4"/>
    <mergeCell ref="B13:H13"/>
    <mergeCell ref="B19:V19"/>
    <mergeCell ref="O21:O66"/>
    <mergeCell ref="P21:P66"/>
    <mergeCell ref="Q21:Q66"/>
    <mergeCell ref="R21:R66"/>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T22"/>
  <sheetViews>
    <sheetView zoomScale="90" zoomScaleNormal="90" workbookViewId="0"/>
  </sheetViews>
  <sheetFormatPr defaultRowHeight="12.75" x14ac:dyDescent="0.2"/>
  <cols>
    <col min="1" max="1" width="9" style="91"/>
    <col min="2" max="2" width="28.125" style="91" customWidth="1"/>
    <col min="3" max="3" width="25.25" style="91" customWidth="1"/>
    <col min="4" max="4" width="9" style="91"/>
    <col min="5" max="12" width="15.625" style="91" customWidth="1"/>
    <col min="13" max="16" width="11.625" style="91" customWidth="1"/>
    <col min="17" max="20" width="12.625" style="91" customWidth="1"/>
    <col min="21" max="16384" width="9" style="91"/>
  </cols>
  <sheetData>
    <row r="2" spans="2:18" ht="21" thickBot="1" x14ac:dyDescent="0.35">
      <c r="B2" s="193" t="s">
        <v>103</v>
      </c>
      <c r="C2" s="193"/>
      <c r="D2" s="193"/>
      <c r="E2" s="193"/>
      <c r="F2" s="193"/>
      <c r="G2" s="193"/>
      <c r="H2" s="193"/>
      <c r="I2" s="193"/>
      <c r="J2" s="193"/>
      <c r="K2" s="193"/>
      <c r="L2" s="193"/>
      <c r="M2" s="193"/>
      <c r="N2" s="193"/>
      <c r="O2" s="193"/>
      <c r="P2" s="193"/>
      <c r="Q2" s="193"/>
      <c r="R2" s="193"/>
    </row>
    <row r="3" spans="2:18" ht="15" customHeight="1" thickTop="1" x14ac:dyDescent="0.2">
      <c r="B3" s="145" t="str">
        <f>Tooltype</f>
        <v>Freshwater calculator tool</v>
      </c>
      <c r="C3" s="3"/>
      <c r="D3" s="3"/>
      <c r="E3" s="3"/>
      <c r="F3" s="3"/>
      <c r="G3" s="3"/>
      <c r="H3" s="3"/>
      <c r="I3" s="3"/>
      <c r="J3" s="3"/>
      <c r="K3" s="3"/>
      <c r="L3" s="3"/>
      <c r="M3" s="3"/>
      <c r="N3" s="3"/>
      <c r="O3" s="3"/>
      <c r="P3" s="3"/>
      <c r="Q3" s="3"/>
      <c r="R3" s="3"/>
    </row>
    <row r="4" spans="2:18" ht="15" customHeight="1" thickBot="1" x14ac:dyDescent="0.35">
      <c r="B4" s="195" t="s">
        <v>49</v>
      </c>
      <c r="C4" s="195"/>
      <c r="D4" s="195"/>
      <c r="E4" s="195"/>
      <c r="F4" s="195"/>
      <c r="G4" s="195"/>
      <c r="H4" s="195"/>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69</v>
      </c>
      <c r="C6" s="3"/>
      <c r="D6" s="3"/>
      <c r="E6" s="3"/>
      <c r="F6" s="3"/>
      <c r="G6" s="124">
        <v>2.5</v>
      </c>
      <c r="H6" s="28" t="s">
        <v>182</v>
      </c>
      <c r="I6" s="3"/>
      <c r="J6" s="3"/>
      <c r="K6" s="3"/>
      <c r="L6" s="3"/>
      <c r="M6" s="3"/>
      <c r="N6" s="3"/>
      <c r="O6" s="3"/>
      <c r="P6" s="3"/>
      <c r="Q6" s="3"/>
      <c r="R6" s="3"/>
    </row>
    <row r="7" spans="2:18" ht="15" customHeight="1" x14ac:dyDescent="0.2">
      <c r="B7" s="3" t="s">
        <v>54</v>
      </c>
      <c r="C7" s="3"/>
      <c r="D7" s="3"/>
      <c r="E7" s="3"/>
      <c r="F7" s="3"/>
      <c r="G7" s="3">
        <f>D_Average_biocide_release_over_the_lifetime_of_the_paint_M</f>
        <v>0</v>
      </c>
      <c r="H7" s="28" t="s">
        <v>182</v>
      </c>
      <c r="I7" s="3"/>
      <c r="J7" s="3"/>
      <c r="K7" s="3"/>
      <c r="L7" s="3"/>
      <c r="M7" s="3"/>
      <c r="N7" s="3"/>
      <c r="O7" s="3"/>
      <c r="P7" s="3"/>
      <c r="Q7" s="3"/>
      <c r="R7" s="3"/>
    </row>
    <row r="8" spans="2:18" ht="15" customHeight="1" x14ac:dyDescent="0.2">
      <c r="B8" s="3" t="s">
        <v>55</v>
      </c>
      <c r="C8" s="3"/>
      <c r="D8" s="3"/>
      <c r="E8" s="3"/>
      <c r="F8" s="3"/>
      <c r="G8" s="37" t="e">
        <f>D_Average_biocide_release_over_the_lifetime_of_the_paint_C</f>
        <v>#DIV/0!</v>
      </c>
      <c r="H8" s="28" t="s">
        <v>182</v>
      </c>
      <c r="I8" s="3"/>
      <c r="J8" s="3"/>
      <c r="K8" s="3"/>
      <c r="L8" s="3"/>
      <c r="M8" s="3"/>
      <c r="N8" s="3"/>
      <c r="O8" s="3"/>
      <c r="P8" s="3"/>
      <c r="Q8" s="3"/>
      <c r="R8" s="3"/>
    </row>
    <row r="9" spans="2:18" ht="15" customHeight="1" x14ac:dyDescent="0.2">
      <c r="B9" s="3" t="s">
        <v>53</v>
      </c>
      <c r="C9" s="3"/>
      <c r="D9" s="3"/>
      <c r="E9" s="3"/>
      <c r="F9" s="3"/>
      <c r="G9" s="40">
        <f>IF(ISBLANK(D_Average_biocide_release_over_the_lifetime_of_the_paint_M),1,0)</f>
        <v>1</v>
      </c>
      <c r="H9" s="28"/>
      <c r="I9" s="3"/>
      <c r="Q9" s="3"/>
      <c r="R9" s="3"/>
    </row>
    <row r="10" spans="2:18" ht="15" customHeight="1" x14ac:dyDescent="0.2">
      <c r="B10" s="3" t="s">
        <v>52</v>
      </c>
      <c r="C10" s="3"/>
      <c r="D10" s="3"/>
      <c r="E10" s="3"/>
      <c r="F10" s="3"/>
      <c r="G10" s="37" t="e">
        <f>IF((G9&lt;1),D_Average_biocide_release_over_the_lifetime_of_the_paint_M,D_Average_biocide_release_over_the_lifetime_of_the_paint_C)</f>
        <v>#DIV/0!</v>
      </c>
      <c r="H10" s="28" t="s">
        <v>182</v>
      </c>
      <c r="I10" s="3"/>
      <c r="J10" s="3"/>
      <c r="K10" s="3"/>
      <c r="L10" s="3"/>
      <c r="M10" s="3"/>
      <c r="N10" s="3"/>
      <c r="O10" s="3"/>
      <c r="P10" s="3"/>
      <c r="Q10" s="3"/>
      <c r="R10" s="3"/>
    </row>
    <row r="11" spans="2:18" ht="15" customHeight="1" x14ac:dyDescent="0.2">
      <c r="B11" s="3" t="s">
        <v>50</v>
      </c>
      <c r="C11" s="3"/>
      <c r="D11" s="3"/>
      <c r="E11" s="3"/>
      <c r="F11" s="3"/>
      <c r="G11" s="37" t="e">
        <f>G10/G6</f>
        <v>#DIV/0!</v>
      </c>
      <c r="H11" s="3" t="s">
        <v>2</v>
      </c>
      <c r="I11" s="3"/>
      <c r="J11" s="3"/>
      <c r="K11" s="3"/>
      <c r="L11" s="3"/>
      <c r="M11" s="3"/>
      <c r="N11" s="3"/>
      <c r="O11" s="3"/>
      <c r="P11" s="3"/>
      <c r="Q11" s="3"/>
      <c r="R11" s="3"/>
    </row>
    <row r="12" spans="2:18" ht="15" customHeight="1" x14ac:dyDescent="0.2">
      <c r="B12" s="3"/>
      <c r="C12" s="3"/>
      <c r="D12" s="3"/>
      <c r="E12" s="3"/>
      <c r="F12" s="3"/>
      <c r="G12" s="37"/>
      <c r="H12" s="3"/>
      <c r="I12" s="3"/>
      <c r="J12" s="3"/>
      <c r="K12" s="3"/>
      <c r="L12" s="3"/>
      <c r="M12" s="3"/>
      <c r="N12" s="3"/>
      <c r="O12" s="3"/>
      <c r="P12" s="3"/>
      <c r="Q12" s="3"/>
      <c r="R12" s="3"/>
    </row>
    <row r="13" spans="2:18" ht="15" customHeight="1" thickBot="1" x14ac:dyDescent="0.35">
      <c r="B13" s="195" t="s">
        <v>68</v>
      </c>
      <c r="C13" s="195"/>
      <c r="D13" s="195"/>
      <c r="E13" s="195"/>
      <c r="F13" s="195"/>
      <c r="G13" s="195"/>
      <c r="H13" s="195"/>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75</v>
      </c>
      <c r="C15" s="3"/>
      <c r="D15" s="3"/>
      <c r="E15" s="3"/>
      <c r="F15" s="3"/>
      <c r="G15" s="157">
        <v>0.9</v>
      </c>
      <c r="H15" s="3"/>
      <c r="I15" s="3"/>
      <c r="J15" s="3"/>
      <c r="K15" s="3"/>
      <c r="L15" s="3"/>
      <c r="M15" s="3"/>
      <c r="N15" s="3"/>
      <c r="O15" s="3"/>
      <c r="P15" s="3"/>
      <c r="Q15" s="3"/>
      <c r="R15" s="3"/>
    </row>
    <row r="16" spans="2:18" ht="15" customHeight="1" x14ac:dyDescent="0.2">
      <c r="B16" s="3" t="s">
        <v>70</v>
      </c>
      <c r="C16" s="3"/>
      <c r="D16" s="3"/>
      <c r="E16" s="3"/>
      <c r="F16" s="3"/>
      <c r="G16" s="37">
        <f>Application_Factor</f>
        <v>0.9</v>
      </c>
      <c r="H16" s="3"/>
      <c r="I16" s="3"/>
      <c r="J16" s="3"/>
      <c r="K16" s="3"/>
      <c r="L16" s="3"/>
      <c r="M16" s="3"/>
      <c r="N16" s="3"/>
      <c r="O16" s="3"/>
      <c r="P16" s="3"/>
      <c r="Q16" s="3"/>
      <c r="R16" s="3"/>
    </row>
    <row r="17" spans="2:20" ht="15" customHeight="1" x14ac:dyDescent="0.2">
      <c r="B17" s="3" t="s">
        <v>50</v>
      </c>
      <c r="C17" s="3"/>
      <c r="D17" s="3"/>
      <c r="E17" s="3"/>
      <c r="F17" s="3"/>
      <c r="G17" s="37">
        <f>Application_Conversion_Factor</f>
        <v>1</v>
      </c>
      <c r="H17" s="51"/>
      <c r="I17" s="3"/>
      <c r="J17" s="3"/>
      <c r="K17" s="3"/>
      <c r="L17" s="3"/>
      <c r="M17" s="3"/>
      <c r="N17" s="3"/>
      <c r="O17" s="3"/>
      <c r="P17" s="3"/>
      <c r="Q17" s="3"/>
      <c r="R17" s="3"/>
    </row>
    <row r="18" spans="2:20" ht="15" customHeight="1" x14ac:dyDescent="0.2"/>
    <row r="19" spans="2:20" ht="15" x14ac:dyDescent="0.2">
      <c r="B19" s="89" t="s">
        <v>105</v>
      </c>
      <c r="C19" s="89"/>
      <c r="D19" s="89"/>
      <c r="E19" s="89"/>
      <c r="F19" s="89"/>
      <c r="G19" s="89"/>
      <c r="H19" s="89"/>
      <c r="I19" s="89"/>
      <c r="J19" s="89"/>
      <c r="K19" s="89"/>
      <c r="L19" s="89"/>
      <c r="M19" s="89"/>
      <c r="N19" s="89"/>
      <c r="O19" s="89"/>
      <c r="P19" s="89"/>
      <c r="Q19" s="89"/>
      <c r="R19" s="89"/>
      <c r="S19" s="89"/>
      <c r="T19" s="89"/>
    </row>
    <row r="20" spans="2:20" ht="95.1" customHeight="1" x14ac:dyDescent="0.2">
      <c r="B20" s="98" t="s">
        <v>9</v>
      </c>
      <c r="C20" s="98" t="s">
        <v>11</v>
      </c>
      <c r="D20" s="97" t="s">
        <v>76</v>
      </c>
      <c r="E20" s="13" t="s">
        <v>227</v>
      </c>
      <c r="F20" s="13" t="s">
        <v>228</v>
      </c>
      <c r="G20" s="13" t="s">
        <v>188</v>
      </c>
      <c r="H20" s="13" t="s">
        <v>229</v>
      </c>
      <c r="I20" s="13" t="s">
        <v>176</v>
      </c>
      <c r="J20" s="13" t="s">
        <v>230</v>
      </c>
      <c r="K20" s="13" t="s">
        <v>177</v>
      </c>
      <c r="L20" s="13" t="s">
        <v>231</v>
      </c>
      <c r="M20" s="12" t="s">
        <v>181</v>
      </c>
      <c r="N20" s="12" t="s">
        <v>180</v>
      </c>
      <c r="O20" s="12" t="s">
        <v>179</v>
      </c>
      <c r="P20" s="12" t="s">
        <v>189</v>
      </c>
      <c r="Q20" s="97" t="s">
        <v>60</v>
      </c>
      <c r="R20" s="97" t="s">
        <v>61</v>
      </c>
      <c r="S20" s="97" t="s">
        <v>62</v>
      </c>
      <c r="T20" s="97" t="s">
        <v>63</v>
      </c>
    </row>
    <row r="21" spans="2:20" ht="15" customHeight="1" x14ac:dyDescent="0.2">
      <c r="B21" s="99" t="s">
        <v>172</v>
      </c>
      <c r="C21" s="99" t="str">
        <f>D_Compound_Name</f>
        <v>DIDT</v>
      </c>
      <c r="D21" s="56">
        <v>100</v>
      </c>
      <c r="E21" s="139">
        <v>2.0014983600377998</v>
      </c>
      <c r="F21" s="100">
        <v>2.27660242991988E-3</v>
      </c>
      <c r="G21" s="100">
        <v>3.06857409101819E-4</v>
      </c>
      <c r="H21" s="100">
        <v>3.4903466975026303E-7</v>
      </c>
      <c r="I21" s="101" t="e">
        <f t="shared" ref="I21:L22" si="0">((E21/100)*$D21)*(D_Leaching_Conversion_Factor*Application_Conversion_Factor)+D_Background_SW_Freshwater</f>
        <v>#DIV/0!</v>
      </c>
      <c r="J21" s="101" t="e">
        <f t="shared" si="0"/>
        <v>#DIV/0!</v>
      </c>
      <c r="K21" s="101" t="e">
        <f t="shared" si="0"/>
        <v>#DIV/0!</v>
      </c>
      <c r="L21" s="101" t="e">
        <f t="shared" si="0"/>
        <v>#DIV/0!</v>
      </c>
      <c r="M21" s="101">
        <f>D_PNEC_Aquatic_Inside</f>
        <v>0.18</v>
      </c>
      <c r="N21" s="101">
        <f>D_PNEC_Sediment_Inside</f>
        <v>1.3699999999999999E-3</v>
      </c>
      <c r="O21" s="101">
        <f>D_PNEC_Aquatic_Surrounding</f>
        <v>0.18</v>
      </c>
      <c r="P21" s="101">
        <f>D_PNEC_Sediment_Surrounding</f>
        <v>1.3699999999999999E-3</v>
      </c>
      <c r="Q21" s="101" t="e">
        <f>I21/D_PNEC_Aquatic_Inside</f>
        <v>#DIV/0!</v>
      </c>
      <c r="R21" s="101" t="e">
        <f>J21/D_PNEC_Sediment_Inside</f>
        <v>#DIV/0!</v>
      </c>
      <c r="S21" s="101" t="e">
        <f>K21/D_PNEC_Aquatic_Surrounding</f>
        <v>#DIV/0!</v>
      </c>
      <c r="T21" s="101" t="e">
        <f>L21/D_PNEC_Sediment_Surrounding</f>
        <v>#DIV/0!</v>
      </c>
    </row>
    <row r="22" spans="2:20" ht="15" customHeight="1" x14ac:dyDescent="0.2">
      <c r="B22" s="99" t="s">
        <v>173</v>
      </c>
      <c r="C22" s="99" t="str">
        <f>D_Compound_Name</f>
        <v>DIDT</v>
      </c>
      <c r="D22" s="56">
        <v>100</v>
      </c>
      <c r="E22" s="100">
        <v>2.18421353310347</v>
      </c>
      <c r="F22" s="100">
        <v>5.7607756141805997E-3</v>
      </c>
      <c r="G22" s="100">
        <v>4.2143292874084201E-3</v>
      </c>
      <c r="H22" s="100">
        <v>1.1115124464796299E-5</v>
      </c>
      <c r="I22" s="101" t="e">
        <f t="shared" si="0"/>
        <v>#DIV/0!</v>
      </c>
      <c r="J22" s="101" t="e">
        <f t="shared" si="0"/>
        <v>#DIV/0!</v>
      </c>
      <c r="K22" s="101" t="e">
        <f t="shared" si="0"/>
        <v>#DIV/0!</v>
      </c>
      <c r="L22" s="101" t="e">
        <f t="shared" si="0"/>
        <v>#DIV/0!</v>
      </c>
      <c r="M22" s="101">
        <f>D_PNEC_Aquatic_Inside</f>
        <v>0.18</v>
      </c>
      <c r="N22" s="101">
        <f>D_PNEC_Sediment_Inside</f>
        <v>1.3699999999999999E-3</v>
      </c>
      <c r="O22" s="101">
        <f>D_PNEC_Aquatic_Surrounding</f>
        <v>0.18</v>
      </c>
      <c r="P22" s="101">
        <f>D_PNEC_Sediment_Surrounding</f>
        <v>1.3699999999999999E-3</v>
      </c>
      <c r="Q22" s="101" t="e">
        <f>I22/D_PNEC_Aquatic_Inside</f>
        <v>#DIV/0!</v>
      </c>
      <c r="R22" s="101" t="e">
        <f>J22/D_PNEC_Sediment_Inside</f>
        <v>#DIV/0!</v>
      </c>
      <c r="S22" s="101" t="e">
        <f>K22/D_PNEC_Aquatic_Surrounding</f>
        <v>#DIV/0!</v>
      </c>
      <c r="T22" s="101" t="e">
        <f>L22/D_PNEC_Sediment_Surrounding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65" t="s">
        <v>103</v>
      </c>
      <c r="C2" s="165"/>
      <c r="D2" s="165"/>
      <c r="E2" s="165"/>
      <c r="F2" s="165"/>
      <c r="G2" s="165"/>
      <c r="H2" s="165"/>
      <c r="I2" s="165"/>
      <c r="J2" s="165"/>
      <c r="K2" s="165"/>
      <c r="L2" s="165"/>
      <c r="M2" s="165"/>
      <c r="N2" s="4"/>
      <c r="O2" s="4"/>
      <c r="P2" s="4"/>
    </row>
    <row r="3" spans="2:17" ht="13.5" thickTop="1" x14ac:dyDescent="0.2">
      <c r="B3" s="145" t="str">
        <f>Tooltype</f>
        <v>Freshwater calculator tool</v>
      </c>
      <c r="C3" s="63"/>
      <c r="D3" s="63"/>
      <c r="E3" s="63"/>
      <c r="F3" s="63"/>
      <c r="G3" s="63"/>
      <c r="H3" s="63"/>
      <c r="I3" s="63"/>
      <c r="J3" s="63"/>
      <c r="K3" s="63"/>
      <c r="L3" s="63"/>
      <c r="M3" s="63"/>
      <c r="N3" s="63"/>
      <c r="O3" s="63"/>
      <c r="P3" s="63"/>
      <c r="Q3" s="63"/>
    </row>
    <row r="4" spans="2:17" ht="18" x14ac:dyDescent="0.2">
      <c r="B4" s="1" t="s">
        <v>8</v>
      </c>
      <c r="C4" s="63"/>
      <c r="D4" s="63"/>
      <c r="E4" s="63"/>
      <c r="F4" s="63"/>
      <c r="G4" s="63"/>
      <c r="H4" s="63"/>
      <c r="I4" s="63"/>
      <c r="J4" s="63"/>
      <c r="K4" s="63"/>
      <c r="L4" s="63"/>
      <c r="M4" s="63"/>
      <c r="N4" s="63"/>
      <c r="O4" s="63"/>
      <c r="P4" s="63"/>
      <c r="Q4" s="63"/>
    </row>
    <row r="5" spans="2:17" ht="12.75" customHeight="1" x14ac:dyDescent="0.2">
      <c r="B5" s="4"/>
      <c r="C5" s="4"/>
      <c r="D5" s="4"/>
      <c r="E5" s="4"/>
      <c r="F5" s="4"/>
      <c r="G5" s="4"/>
      <c r="H5" s="4"/>
      <c r="I5" s="4"/>
      <c r="J5" s="4"/>
      <c r="K5" s="4"/>
      <c r="L5" s="4"/>
      <c r="M5" s="4"/>
      <c r="N5" s="4"/>
      <c r="O5" s="4"/>
      <c r="P5" s="4"/>
    </row>
    <row r="6" spans="2:17" ht="12.75" customHeight="1" x14ac:dyDescent="0.2">
      <c r="B6" s="81" t="s">
        <v>92</v>
      </c>
      <c r="C6" s="82"/>
      <c r="D6" s="4"/>
      <c r="E6" s="4"/>
      <c r="F6" s="4"/>
      <c r="G6" s="4"/>
      <c r="H6" s="4"/>
      <c r="I6" s="4"/>
      <c r="J6" s="4"/>
      <c r="K6" s="4"/>
      <c r="L6" s="4"/>
      <c r="M6" s="4"/>
      <c r="N6" s="4"/>
      <c r="O6" s="4"/>
      <c r="P6" s="4"/>
    </row>
    <row r="7" spans="2:17" ht="12.75" customHeight="1" x14ac:dyDescent="0.2">
      <c r="B7" s="81"/>
      <c r="C7" s="82"/>
      <c r="D7" s="4"/>
      <c r="E7" s="4"/>
      <c r="F7" s="4"/>
      <c r="G7" s="4"/>
      <c r="H7" s="4"/>
      <c r="I7" s="4"/>
      <c r="J7" s="4"/>
      <c r="K7" s="4"/>
      <c r="L7" s="4"/>
      <c r="M7" s="4"/>
      <c r="N7" s="4"/>
      <c r="O7" s="4"/>
      <c r="P7" s="4"/>
    </row>
    <row r="8" spans="2:17" ht="12.75" customHeight="1" x14ac:dyDescent="0.2">
      <c r="B8" s="82" t="s">
        <v>93</v>
      </c>
      <c r="C8" s="4"/>
      <c r="D8" s="4"/>
      <c r="E8" s="4"/>
      <c r="F8" s="4"/>
      <c r="G8" s="4"/>
      <c r="H8" s="4"/>
      <c r="I8" s="4"/>
      <c r="J8" s="4"/>
      <c r="K8" s="4"/>
      <c r="L8" s="4"/>
      <c r="M8" s="4"/>
      <c r="N8" s="4"/>
      <c r="O8" s="4"/>
      <c r="P8" s="4"/>
    </row>
    <row r="9" spans="2:17" ht="12.75" customHeight="1" x14ac:dyDescent="0.2">
      <c r="B9" s="4"/>
      <c r="C9" s="4"/>
      <c r="D9" s="4"/>
      <c r="E9" s="4"/>
      <c r="F9" s="4"/>
      <c r="G9" s="4"/>
      <c r="H9" s="4"/>
      <c r="I9" s="4"/>
      <c r="J9" s="4"/>
      <c r="K9" s="4"/>
      <c r="L9" s="4"/>
      <c r="M9" s="4"/>
      <c r="N9" s="4"/>
      <c r="O9" s="4"/>
      <c r="P9" s="4"/>
    </row>
    <row r="10" spans="2:17" ht="12.75" customHeight="1" x14ac:dyDescent="0.2">
      <c r="B10" s="84" t="s">
        <v>94</v>
      </c>
      <c r="C10" s="83"/>
      <c r="D10" s="83"/>
      <c r="E10" s="83"/>
      <c r="F10" s="83"/>
      <c r="G10" s="83"/>
      <c r="H10" s="83"/>
      <c r="I10" s="83"/>
      <c r="J10" s="83"/>
      <c r="K10" s="83"/>
      <c r="L10" s="83"/>
      <c r="M10" s="83"/>
      <c r="N10" s="83"/>
      <c r="O10" s="83"/>
      <c r="P10" s="83"/>
    </row>
    <row r="11" spans="2:17" ht="12.75" customHeight="1" x14ac:dyDescent="0.2">
      <c r="B11" s="2"/>
      <c r="C11" s="5"/>
      <c r="D11" s="5"/>
      <c r="E11" s="5"/>
      <c r="F11" s="5"/>
      <c r="G11" s="5"/>
      <c r="H11" s="5"/>
      <c r="I11" s="5"/>
      <c r="J11" s="5"/>
      <c r="K11" s="5"/>
      <c r="L11" s="5"/>
      <c r="M11" s="5"/>
      <c r="N11" s="5"/>
      <c r="O11" s="5"/>
      <c r="P11" s="5"/>
    </row>
    <row r="12" spans="2:17" ht="12.75" customHeight="1" x14ac:dyDescent="0.2">
      <c r="B12" s="82" t="s">
        <v>190</v>
      </c>
      <c r="C12" s="5"/>
      <c r="D12" s="5"/>
      <c r="E12" s="5"/>
      <c r="F12" s="5"/>
      <c r="G12" s="5"/>
      <c r="H12" s="5"/>
      <c r="I12" s="5"/>
      <c r="J12" s="5"/>
      <c r="K12" s="5"/>
      <c r="L12" s="5"/>
      <c r="M12" s="5"/>
      <c r="N12" s="5"/>
      <c r="O12" s="5"/>
      <c r="P12" s="5"/>
    </row>
    <row r="13" spans="2:17" ht="12.75" customHeight="1" x14ac:dyDescent="0.2">
      <c r="B13" s="2"/>
      <c r="C13" s="5"/>
      <c r="D13" s="5"/>
      <c r="E13" s="5"/>
      <c r="F13" s="5"/>
      <c r="G13" s="5"/>
      <c r="H13" s="5"/>
      <c r="I13" s="5"/>
      <c r="J13" s="5"/>
      <c r="K13" s="5"/>
      <c r="L13" s="5"/>
      <c r="M13" s="5"/>
      <c r="N13" s="5"/>
      <c r="O13" s="5"/>
      <c r="P13" s="5"/>
    </row>
    <row r="14" spans="2:17" ht="12.75" customHeight="1" x14ac:dyDescent="0.2">
      <c r="B14" s="84" t="s">
        <v>95</v>
      </c>
      <c r="C14" s="83"/>
      <c r="D14" s="83"/>
      <c r="E14" s="83"/>
      <c r="F14" s="83"/>
      <c r="G14" s="83"/>
      <c r="H14" s="83"/>
      <c r="I14" s="83"/>
      <c r="J14" s="83"/>
      <c r="K14" s="83"/>
      <c r="L14" s="83"/>
      <c r="M14" s="83"/>
      <c r="N14" s="83"/>
      <c r="O14" s="83"/>
      <c r="P14" s="83"/>
    </row>
    <row r="15" spans="2:17" ht="12.75" customHeight="1" x14ac:dyDescent="0.2"/>
    <row r="16" spans="2:17" ht="12.75" customHeight="1" x14ac:dyDescent="0.2">
      <c r="B16" s="85" t="s">
        <v>191</v>
      </c>
    </row>
    <row r="17" spans="2:2" ht="12.75" customHeight="1" x14ac:dyDescent="0.2"/>
    <row r="18" spans="2:2" ht="12.75" customHeight="1" x14ac:dyDescent="0.2">
      <c r="B18" s="85" t="s">
        <v>193</v>
      </c>
    </row>
    <row r="19" spans="2:2" ht="12.75" customHeight="1" x14ac:dyDescent="0.2"/>
    <row r="20" spans="2:2" ht="12.75" customHeight="1" x14ac:dyDescent="0.2">
      <c r="B20" s="110" t="s">
        <v>194</v>
      </c>
    </row>
    <row r="21" spans="2:2" ht="12.75" customHeight="1" x14ac:dyDescent="0.2"/>
    <row r="22" spans="2:2" ht="12.75" customHeight="1" x14ac:dyDescent="0.2">
      <c r="B22" s="85" t="s">
        <v>192</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0"/>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66" t="s">
        <v>59</v>
      </c>
      <c r="C2" s="166"/>
      <c r="D2" s="166"/>
      <c r="E2" s="166"/>
      <c r="F2" s="166"/>
      <c r="G2" s="166"/>
      <c r="H2" s="166"/>
      <c r="I2" s="166"/>
      <c r="J2" s="166"/>
      <c r="K2" s="166"/>
      <c r="L2" s="166"/>
    </row>
    <row r="3" spans="2:12" ht="13.5" thickTop="1" x14ac:dyDescent="0.2">
      <c r="B3" s="151" t="str">
        <f>Tooltype</f>
        <v>Freshwater calculator tool</v>
      </c>
    </row>
    <row r="4" spans="2:12" x14ac:dyDescent="0.2"/>
    <row r="5" spans="2:12" ht="21" thickBot="1" x14ac:dyDescent="0.35">
      <c r="B5" s="148" t="s">
        <v>11</v>
      </c>
      <c r="G5" s="166" t="s">
        <v>67</v>
      </c>
      <c r="H5" s="166"/>
    </row>
    <row r="6" spans="2:12" ht="15" customHeight="1" thickTop="1" x14ac:dyDescent="0.2">
      <c r="B6" s="149" t="str">
        <f>Z_Compound_Name</f>
        <v>Zineb</v>
      </c>
      <c r="F6" s="52"/>
    </row>
    <row r="7" spans="2:12" x14ac:dyDescent="0.2">
      <c r="F7" s="52"/>
      <c r="G7" s="142" t="s">
        <v>67</v>
      </c>
      <c r="H7" s="94">
        <v>0.9</v>
      </c>
    </row>
    <row r="8" spans="2:12" x14ac:dyDescent="0.2">
      <c r="F8" s="52"/>
    </row>
    <row r="9" spans="2:12" ht="21" thickBot="1" x14ac:dyDescent="0.35">
      <c r="B9" s="166" t="s">
        <v>58</v>
      </c>
      <c r="C9" s="166"/>
      <c r="D9" s="166"/>
      <c r="E9" s="48"/>
      <c r="F9" s="52"/>
      <c r="G9" s="38" t="s">
        <v>51</v>
      </c>
    </row>
    <row r="10" spans="2:12" ht="12.75" customHeight="1" thickTop="1" thickBot="1" x14ac:dyDescent="0.25">
      <c r="B10" s="52"/>
      <c r="C10" s="52"/>
      <c r="D10" s="52"/>
      <c r="E10" s="52"/>
      <c r="F10" s="52"/>
    </row>
    <row r="11" spans="2:12" ht="26.25" customHeight="1" thickBot="1" x14ac:dyDescent="0.25">
      <c r="B11" s="52"/>
      <c r="C11" s="150" t="s">
        <v>71</v>
      </c>
      <c r="D11" s="150" t="s">
        <v>72</v>
      </c>
      <c r="E11" s="52"/>
      <c r="G11" s="140" t="s">
        <v>65</v>
      </c>
      <c r="H11" s="95"/>
      <c r="I11" s="39" t="s">
        <v>166</v>
      </c>
      <c r="J11" s="141" t="s">
        <v>66</v>
      </c>
    </row>
    <row r="12" spans="2:12" x14ac:dyDescent="0.2">
      <c r="B12" s="142" t="s">
        <v>3</v>
      </c>
      <c r="C12" s="94">
        <v>0.219</v>
      </c>
      <c r="D12" s="94">
        <v>0.219</v>
      </c>
      <c r="E12" s="143" t="s">
        <v>169</v>
      </c>
    </row>
    <row r="13" spans="2:12" x14ac:dyDescent="0.2">
      <c r="B13" s="142" t="s">
        <v>4</v>
      </c>
      <c r="C13" s="94">
        <v>4.5499999999999999E-2</v>
      </c>
      <c r="D13" s="94">
        <v>4.5499999999999999E-2</v>
      </c>
      <c r="E13" s="143" t="s">
        <v>170</v>
      </c>
    </row>
    <row r="14" spans="2:12" x14ac:dyDescent="0.2"/>
    <row r="15" spans="2:12" ht="21" thickBot="1" x14ac:dyDescent="0.35">
      <c r="B15" s="166" t="s">
        <v>56</v>
      </c>
      <c r="C15" s="166"/>
      <c r="D15" s="166"/>
      <c r="E15" s="48"/>
      <c r="G15" s="45" t="s">
        <v>22</v>
      </c>
      <c r="H15" s="45"/>
      <c r="I15" s="45"/>
      <c r="J15" s="45"/>
      <c r="K15" s="45"/>
      <c r="L15" s="45"/>
    </row>
    <row r="16" spans="2:12" ht="14.25" thickTop="1" thickBot="1" x14ac:dyDescent="0.25">
      <c r="B16" s="46"/>
    </row>
    <row r="17" spans="2:12" ht="18" thickBot="1" x14ac:dyDescent="0.35">
      <c r="B17" s="170" t="s">
        <v>165</v>
      </c>
      <c r="C17" s="170"/>
      <c r="D17" s="170"/>
      <c r="E17" s="49"/>
      <c r="G17" s="42" t="s">
        <v>16</v>
      </c>
      <c r="H17" s="43"/>
      <c r="I17" s="43"/>
      <c r="J17" s="43"/>
      <c r="K17" s="43"/>
      <c r="L17" s="44"/>
    </row>
    <row r="18" spans="2:12" ht="13.5" thickTop="1" x14ac:dyDescent="0.2">
      <c r="B18" s="46"/>
      <c r="G18" s="21"/>
      <c r="H18" s="18"/>
      <c r="I18" s="18"/>
      <c r="J18" s="18"/>
      <c r="K18" s="18"/>
      <c r="L18" s="22"/>
    </row>
    <row r="19" spans="2:12" ht="25.5" x14ac:dyDescent="0.2">
      <c r="B19" s="142" t="s">
        <v>57</v>
      </c>
      <c r="C19" s="94">
        <v>0</v>
      </c>
      <c r="D19" s="115" t="s">
        <v>169</v>
      </c>
      <c r="E19" s="50"/>
      <c r="G19" s="144" t="s">
        <v>17</v>
      </c>
      <c r="H19" s="13" t="s">
        <v>18</v>
      </c>
      <c r="I19" s="13" t="s">
        <v>19</v>
      </c>
      <c r="J19" s="13" t="s">
        <v>20</v>
      </c>
      <c r="K19" s="13" t="s">
        <v>23</v>
      </c>
      <c r="L19" s="14" t="s">
        <v>21</v>
      </c>
    </row>
    <row r="20" spans="2:12" x14ac:dyDescent="0.2">
      <c r="B20" s="142" t="s">
        <v>4</v>
      </c>
      <c r="C20" s="94">
        <v>0</v>
      </c>
      <c r="D20" s="115" t="s">
        <v>170</v>
      </c>
      <c r="E20" s="50"/>
      <c r="G20" s="21"/>
      <c r="H20" s="18"/>
      <c r="I20" s="18"/>
      <c r="J20" s="18"/>
      <c r="K20" s="18"/>
      <c r="L20" s="22"/>
    </row>
    <row r="21" spans="2:12" ht="25.5" x14ac:dyDescent="0.2">
      <c r="B21"/>
      <c r="C21"/>
      <c r="D21"/>
      <c r="E21"/>
      <c r="G21" s="32" t="s">
        <v>24</v>
      </c>
      <c r="H21" s="26" t="s">
        <v>25</v>
      </c>
      <c r="I21" s="41"/>
      <c r="J21" s="28" t="s">
        <v>45</v>
      </c>
      <c r="K21" s="23" t="s">
        <v>47</v>
      </c>
      <c r="L21" s="16"/>
    </row>
    <row r="22" spans="2:12" x14ac:dyDescent="0.2">
      <c r="B22"/>
      <c r="C22"/>
      <c r="D22"/>
      <c r="E22"/>
      <c r="G22" s="32" t="s">
        <v>28</v>
      </c>
      <c r="H22" s="26" t="s">
        <v>26</v>
      </c>
      <c r="I22" s="41"/>
      <c r="J22" s="28" t="s">
        <v>2</v>
      </c>
      <c r="K22" s="23" t="s">
        <v>48</v>
      </c>
      <c r="L22" s="16"/>
    </row>
    <row r="23" spans="2:12" ht="29.25" customHeight="1" x14ac:dyDescent="0.2">
      <c r="B23"/>
      <c r="C23"/>
      <c r="D23"/>
      <c r="E23"/>
      <c r="G23" s="32" t="s">
        <v>29</v>
      </c>
      <c r="H23" s="26" t="s">
        <v>27</v>
      </c>
      <c r="I23" s="41"/>
      <c r="J23" s="28" t="s">
        <v>30</v>
      </c>
      <c r="K23" s="23" t="s">
        <v>48</v>
      </c>
      <c r="L23" s="16"/>
    </row>
    <row r="24" spans="2:12" ht="15" x14ac:dyDescent="0.2">
      <c r="B24"/>
      <c r="C24"/>
      <c r="D24"/>
      <c r="E24"/>
      <c r="G24" s="32" t="s">
        <v>31</v>
      </c>
      <c r="H24" s="27" t="s">
        <v>32</v>
      </c>
      <c r="I24" s="41"/>
      <c r="J24" s="28" t="s">
        <v>168</v>
      </c>
      <c r="K24" s="23" t="s">
        <v>48</v>
      </c>
      <c r="L24" s="16"/>
    </row>
    <row r="25" spans="2:12" x14ac:dyDescent="0.2">
      <c r="B25"/>
      <c r="C25"/>
      <c r="D25"/>
      <c r="E25"/>
      <c r="G25" s="32" t="s">
        <v>39</v>
      </c>
      <c r="H25" s="26" t="s">
        <v>33</v>
      </c>
      <c r="I25" s="41"/>
      <c r="J25" s="28" t="s">
        <v>167</v>
      </c>
      <c r="K25" s="23" t="s">
        <v>48</v>
      </c>
      <c r="L25" s="16"/>
    </row>
    <row r="26" spans="2:12" ht="29.25" customHeight="1" x14ac:dyDescent="0.2">
      <c r="B26"/>
      <c r="C26"/>
      <c r="D26"/>
      <c r="E26"/>
      <c r="G26" s="32" t="s">
        <v>184</v>
      </c>
      <c r="H26" s="26" t="s">
        <v>34</v>
      </c>
      <c r="I26" s="41"/>
      <c r="J26" s="28" t="s">
        <v>42</v>
      </c>
      <c r="K26" s="23" t="s">
        <v>48</v>
      </c>
      <c r="L26" s="16"/>
    </row>
    <row r="27" spans="2:12" x14ac:dyDescent="0.2">
      <c r="B27"/>
      <c r="C27"/>
      <c r="D27"/>
      <c r="E27"/>
      <c r="G27" s="32" t="s">
        <v>40</v>
      </c>
      <c r="H27" s="26" t="s">
        <v>35</v>
      </c>
      <c r="I27" s="41"/>
      <c r="J27" s="28" t="s">
        <v>41</v>
      </c>
      <c r="K27" s="23" t="s">
        <v>48</v>
      </c>
      <c r="L27" s="16"/>
    </row>
    <row r="28" spans="2:12" ht="15.75" thickBot="1" x14ac:dyDescent="0.25">
      <c r="B28"/>
      <c r="C28"/>
      <c r="D28"/>
      <c r="E28"/>
      <c r="G28" s="167" t="s">
        <v>36</v>
      </c>
      <c r="H28" s="168"/>
      <c r="I28" s="168"/>
      <c r="J28" s="168"/>
      <c r="K28" s="168"/>
      <c r="L28" s="169"/>
    </row>
    <row r="29" spans="2:12" ht="54" customHeight="1" thickTop="1" thickBot="1" x14ac:dyDescent="0.3">
      <c r="B29"/>
      <c r="C29"/>
      <c r="D29"/>
      <c r="E29"/>
      <c r="G29" s="32" t="s">
        <v>43</v>
      </c>
      <c r="H29" s="25" t="s">
        <v>37</v>
      </c>
      <c r="I29" s="34" t="e">
        <f>(Z_La*Z_a*Z_Wa*Z_ƿ*Z_DFT)/Z_VS</f>
        <v>#DIV/0!</v>
      </c>
      <c r="J29" s="28" t="s">
        <v>171</v>
      </c>
      <c r="K29" s="23" t="s">
        <v>46</v>
      </c>
      <c r="L29" s="16"/>
    </row>
    <row r="30" spans="2:12" ht="57.75" customHeight="1" thickTop="1" thickBot="1" x14ac:dyDescent="0.25">
      <c r="B30"/>
      <c r="C30"/>
      <c r="D30"/>
      <c r="E30"/>
      <c r="G30" s="31" t="s">
        <v>44</v>
      </c>
      <c r="H30" s="30" t="s">
        <v>38</v>
      </c>
      <c r="I30" s="35" t="e">
        <f>0.0329*(Z_Mrel/Z_t)</f>
        <v>#DIV/0!</v>
      </c>
      <c r="J30" s="29" t="s">
        <v>166</v>
      </c>
      <c r="K30" s="33" t="s">
        <v>46</v>
      </c>
      <c r="L30" s="24"/>
    </row>
    <row r="31" spans="2:12" x14ac:dyDescent="0.2">
      <c r="G31" s="19"/>
      <c r="H31" s="20"/>
    </row>
    <row r="32" spans="2:12" x14ac:dyDescent="0.2">
      <c r="G32" s="19"/>
      <c r="H32" s="20"/>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19"/>
      <c r="C40" s="20"/>
    </row>
    <row r="41" spans="2:7" ht="12.75" hidden="1" customHeight="1" x14ac:dyDescent="0.2">
      <c r="B41" s="19"/>
      <c r="C41" s="20"/>
      <c r="E41" s="46"/>
      <c r="G41" s="46"/>
    </row>
    <row r="42" spans="2:7" ht="12.75" hidden="1" customHeight="1" x14ac:dyDescent="0.2">
      <c r="B42" s="46"/>
      <c r="C42" s="46"/>
      <c r="D42" s="46"/>
      <c r="E42" s="46"/>
      <c r="G42" s="36"/>
    </row>
    <row r="43" spans="2:7" ht="41.25" hidden="1" customHeight="1" x14ac:dyDescent="0.2">
      <c r="B43" s="46"/>
      <c r="C43" s="46"/>
      <c r="D43" s="46"/>
      <c r="F43" s="46"/>
      <c r="G43" s="36"/>
    </row>
    <row r="44" spans="2:7" ht="12.75" hidden="1" customHeight="1" x14ac:dyDescent="0.2">
      <c r="F44" s="36"/>
      <c r="G44" s="36"/>
    </row>
    <row r="45" spans="2:7" ht="12.75" hidden="1" customHeight="1" x14ac:dyDescent="0.2">
      <c r="F45" s="36"/>
      <c r="G45" s="36"/>
    </row>
    <row r="46" spans="2:7" ht="12.75" hidden="1" customHeight="1" x14ac:dyDescent="0.2">
      <c r="E46" s="46"/>
      <c r="F46" s="36"/>
      <c r="G46" s="36"/>
    </row>
    <row r="47" spans="2:7" ht="12.75" hidden="1" customHeight="1" x14ac:dyDescent="0.2">
      <c r="B47" s="46"/>
      <c r="C47" s="46"/>
      <c r="D47" s="46"/>
      <c r="E47" s="46"/>
      <c r="F47" s="36"/>
      <c r="G47" s="36"/>
    </row>
    <row r="48" spans="2:7" ht="12.75" hidden="1" customHeight="1" x14ac:dyDescent="0.2">
      <c r="B48" s="46"/>
      <c r="C48" s="46"/>
      <c r="D48" s="46"/>
      <c r="E48" s="46"/>
      <c r="F48" s="36"/>
      <c r="G48" s="36"/>
    </row>
    <row r="49" spans="2:7" ht="12.75" hidden="1" customHeight="1" x14ac:dyDescent="0.2">
      <c r="B49" s="46"/>
      <c r="C49" s="46"/>
      <c r="D49" s="46"/>
      <c r="E49" s="46"/>
      <c r="F49" s="36"/>
      <c r="G49" s="46"/>
    </row>
    <row r="50" spans="2:7" ht="12.75" hidden="1" customHeight="1" x14ac:dyDescent="0.2">
      <c r="B50" s="46"/>
      <c r="C50" s="46"/>
      <c r="D50" s="46"/>
      <c r="E50" s="46"/>
      <c r="F50" s="36"/>
      <c r="G50" s="36"/>
    </row>
    <row r="51" spans="2:7" ht="12.75" hidden="1" customHeight="1" x14ac:dyDescent="0.2">
      <c r="B51" s="46"/>
      <c r="C51" s="46"/>
      <c r="D51" s="46"/>
      <c r="E51" s="46"/>
      <c r="F51" s="46"/>
      <c r="G51" s="36"/>
    </row>
    <row r="52" spans="2:7" ht="12.75" hidden="1" customHeight="1" x14ac:dyDescent="0.2">
      <c r="B52" s="46"/>
      <c r="C52" s="46"/>
      <c r="D52" s="46"/>
      <c r="E52" s="46"/>
      <c r="F52" s="36"/>
      <c r="G52" s="36"/>
    </row>
    <row r="53" spans="2:7" ht="12.75" hidden="1" customHeight="1" x14ac:dyDescent="0.2">
      <c r="B53" s="46"/>
      <c r="C53" s="46"/>
      <c r="D53" s="46"/>
      <c r="E53" s="46"/>
      <c r="F53" s="36"/>
      <c r="G53" s="36"/>
    </row>
    <row r="54" spans="2:7" ht="12.75" hidden="1" customHeight="1" x14ac:dyDescent="0.2">
      <c r="B54" s="46"/>
      <c r="C54" s="46"/>
      <c r="D54" s="46"/>
      <c r="E54" s="46"/>
      <c r="F54" s="36"/>
      <c r="G54" s="36"/>
    </row>
    <row r="55" spans="2:7" ht="12.75" hidden="1" customHeight="1" x14ac:dyDescent="0.2">
      <c r="B55" s="46"/>
      <c r="C55" s="46"/>
      <c r="D55" s="46"/>
      <c r="E55" s="46"/>
      <c r="F55" s="36"/>
      <c r="G55" s="36"/>
    </row>
    <row r="56" spans="2:7" ht="12.75" hidden="1" customHeight="1" x14ac:dyDescent="0.2">
      <c r="B56" s="46"/>
      <c r="C56" s="46"/>
      <c r="D56" s="46"/>
      <c r="E56" s="46"/>
      <c r="F56" s="36"/>
      <c r="G56" s="36"/>
    </row>
    <row r="57" spans="2:7" ht="12.75" hidden="1" customHeight="1" x14ac:dyDescent="0.2">
      <c r="B57" s="46"/>
      <c r="C57" s="46"/>
      <c r="D57" s="46"/>
      <c r="E57" s="46"/>
      <c r="F57" s="36"/>
      <c r="G57" s="36"/>
    </row>
    <row r="58" spans="2:7" ht="12.75" hidden="1" customHeight="1" x14ac:dyDescent="0.2">
      <c r="B58" s="46"/>
      <c r="C58" s="46"/>
      <c r="D58" s="46"/>
      <c r="E58" s="46"/>
      <c r="F58" s="36"/>
      <c r="G58" s="36"/>
    </row>
    <row r="59" spans="2:7" ht="12.75" hidden="1" customHeight="1" x14ac:dyDescent="0.2">
      <c r="B59" s="46"/>
      <c r="C59" s="46"/>
      <c r="D59" s="46"/>
      <c r="E59" s="46"/>
      <c r="F59" s="36"/>
      <c r="G59" s="36"/>
    </row>
    <row r="60" spans="2:7" ht="12.75" hidden="1" customHeight="1" x14ac:dyDescent="0.2">
      <c r="B60" s="46"/>
      <c r="C60" s="46"/>
      <c r="D60" s="46"/>
      <c r="E60" s="46"/>
      <c r="F60" s="36"/>
      <c r="G60" s="46"/>
    </row>
    <row r="61" spans="2:7" ht="12.75" hidden="1" customHeight="1" x14ac:dyDescent="0.2">
      <c r="B61" s="46"/>
      <c r="C61" s="46"/>
      <c r="D61" s="46"/>
      <c r="E61" s="46"/>
      <c r="F61" s="36"/>
      <c r="G61" s="36"/>
    </row>
    <row r="62" spans="2:7" ht="12.75" hidden="1" customHeight="1" x14ac:dyDescent="0.2">
      <c r="B62" s="46"/>
      <c r="C62" s="46"/>
      <c r="D62" s="46"/>
      <c r="E62" s="46"/>
      <c r="F62" s="46"/>
      <c r="G62" s="36"/>
    </row>
    <row r="63" spans="2:7" ht="12.75" hidden="1" customHeight="1" x14ac:dyDescent="0.2">
      <c r="B63" s="46"/>
      <c r="C63" s="46"/>
      <c r="D63" s="46"/>
      <c r="E63" s="46"/>
      <c r="F63" s="36"/>
      <c r="G63" s="36"/>
    </row>
    <row r="64" spans="2:7" ht="12.75" hidden="1" customHeight="1" x14ac:dyDescent="0.2">
      <c r="B64" s="46"/>
      <c r="C64" s="46"/>
      <c r="D64" s="46"/>
      <c r="E64" s="46"/>
      <c r="F64" s="36"/>
      <c r="G64" s="36"/>
    </row>
    <row r="65" spans="2:7" ht="12.75" hidden="1" customHeight="1" x14ac:dyDescent="0.2">
      <c r="B65" s="46"/>
      <c r="C65" s="46"/>
      <c r="D65" s="46"/>
      <c r="E65" s="46"/>
      <c r="F65" s="36"/>
      <c r="G65" s="36"/>
    </row>
    <row r="66" spans="2:7" ht="12.75" hidden="1" customHeight="1" x14ac:dyDescent="0.2">
      <c r="B66" s="46"/>
      <c r="C66" s="46"/>
      <c r="D66" s="46"/>
      <c r="E66" s="46"/>
      <c r="F66" s="36"/>
      <c r="G66" s="36"/>
    </row>
    <row r="67" spans="2:7" ht="12.75" hidden="1" customHeight="1" x14ac:dyDescent="0.2">
      <c r="B67" s="46"/>
      <c r="C67" s="46"/>
      <c r="D67" s="46"/>
      <c r="E67" s="46"/>
      <c r="F67" s="36"/>
      <c r="G67" s="36"/>
    </row>
    <row r="68" spans="2:7" ht="12.75" hidden="1" customHeight="1" x14ac:dyDescent="0.2">
      <c r="B68" s="46"/>
      <c r="C68" s="46"/>
      <c r="D68" s="46"/>
      <c r="E68" s="46"/>
      <c r="F68" s="36"/>
      <c r="G68" s="36"/>
    </row>
    <row r="69" spans="2:7" ht="12.75" hidden="1" customHeight="1" x14ac:dyDescent="0.2">
      <c r="B69" s="46"/>
      <c r="C69" s="46"/>
      <c r="D69" s="46"/>
      <c r="F69" s="36"/>
    </row>
    <row r="70" spans="2:7" ht="12.75" hidden="1" customHeight="1" x14ac:dyDescent="0.2">
      <c r="F70" s="36"/>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row r="80"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2"/>
  <sheetViews>
    <sheetView zoomScale="90" zoomScaleNormal="90" workbookViewId="0"/>
  </sheetViews>
  <sheetFormatPr defaultColWidth="0" defaultRowHeight="12.75" customHeight="1"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66" t="s">
        <v>59</v>
      </c>
      <c r="C2" s="166"/>
      <c r="D2" s="166"/>
      <c r="E2" s="166"/>
      <c r="F2" s="166"/>
      <c r="G2" s="166"/>
      <c r="H2" s="166"/>
      <c r="I2" s="166"/>
      <c r="J2" s="166"/>
      <c r="K2" s="166"/>
      <c r="L2" s="166"/>
    </row>
    <row r="3" spans="2:12" ht="13.5" thickTop="1" x14ac:dyDescent="0.2">
      <c r="B3" s="151" t="str">
        <f>Tooltype</f>
        <v>Freshwater calculator tool</v>
      </c>
    </row>
    <row r="4" spans="2:12" ht="12.75" customHeight="1" x14ac:dyDescent="0.2"/>
    <row r="5" spans="2:12" ht="21" thickBot="1" x14ac:dyDescent="0.35">
      <c r="B5" s="148" t="s">
        <v>11</v>
      </c>
      <c r="F5" s="52"/>
      <c r="G5" s="166" t="s">
        <v>67</v>
      </c>
      <c r="H5" s="166"/>
    </row>
    <row r="6" spans="2:12" ht="15" customHeight="1" thickTop="1" x14ac:dyDescent="0.2">
      <c r="B6" s="149" t="str">
        <f>D_Compound_Name</f>
        <v>DIDT</v>
      </c>
      <c r="F6" s="52"/>
    </row>
    <row r="7" spans="2:12" x14ac:dyDescent="0.2">
      <c r="F7" s="52"/>
      <c r="G7" s="142" t="s">
        <v>67</v>
      </c>
      <c r="H7" s="94">
        <f>Application_Factor</f>
        <v>0.9</v>
      </c>
      <c r="I7" s="141" t="s">
        <v>248</v>
      </c>
    </row>
    <row r="8" spans="2:12" ht="12.75" customHeight="1" x14ac:dyDescent="0.2">
      <c r="F8" s="52"/>
    </row>
    <row r="9" spans="2:12" ht="21" thickBot="1" x14ac:dyDescent="0.35">
      <c r="B9" s="166" t="s">
        <v>58</v>
      </c>
      <c r="C9" s="166"/>
      <c r="D9" s="166"/>
      <c r="E9" s="111"/>
      <c r="F9" s="52"/>
      <c r="G9" s="38" t="s">
        <v>51</v>
      </c>
    </row>
    <row r="10" spans="2:12" ht="12.75" customHeight="1" thickTop="1" thickBot="1" x14ac:dyDescent="0.25">
      <c r="B10" s="52"/>
      <c r="C10" s="52"/>
      <c r="D10" s="52"/>
      <c r="E10" s="52"/>
      <c r="F10" s="52"/>
    </row>
    <row r="11" spans="2:12" ht="26.25" customHeight="1" thickBot="1" x14ac:dyDescent="0.25">
      <c r="B11" s="52"/>
      <c r="C11" s="150" t="s">
        <v>71</v>
      </c>
      <c r="D11" s="150" t="s">
        <v>72</v>
      </c>
      <c r="E11" s="52"/>
      <c r="G11" s="140" t="s">
        <v>65</v>
      </c>
      <c r="H11" s="95"/>
      <c r="I11" s="39" t="s">
        <v>166</v>
      </c>
      <c r="J11" s="141" t="s">
        <v>66</v>
      </c>
    </row>
    <row r="12" spans="2:12" x14ac:dyDescent="0.2">
      <c r="B12" s="142" t="s">
        <v>3</v>
      </c>
      <c r="C12" s="94">
        <v>0.18</v>
      </c>
      <c r="D12" s="94">
        <v>0.18</v>
      </c>
      <c r="E12" s="143" t="s">
        <v>169</v>
      </c>
    </row>
    <row r="13" spans="2:12" x14ac:dyDescent="0.2">
      <c r="B13" s="142" t="s">
        <v>4</v>
      </c>
      <c r="C13" s="94">
        <v>1.3699999999999999E-3</v>
      </c>
      <c r="D13" s="94">
        <v>1.3699999999999999E-3</v>
      </c>
      <c r="E13" s="143" t="s">
        <v>170</v>
      </c>
    </row>
    <row r="14" spans="2:12" ht="12.75" customHeight="1" x14ac:dyDescent="0.2"/>
    <row r="15" spans="2:12" ht="21" thickBot="1" x14ac:dyDescent="0.35">
      <c r="B15" s="166" t="s">
        <v>56</v>
      </c>
      <c r="C15" s="166"/>
      <c r="D15" s="166"/>
      <c r="E15" s="111"/>
      <c r="G15" s="111" t="s">
        <v>22</v>
      </c>
      <c r="H15" s="111"/>
      <c r="I15" s="111"/>
      <c r="J15" s="111"/>
      <c r="K15" s="111"/>
      <c r="L15" s="111"/>
    </row>
    <row r="16" spans="2:12" ht="14.25" thickTop="1" thickBot="1" x14ac:dyDescent="0.25">
      <c r="B16" s="46"/>
    </row>
    <row r="17" spans="2:12" ht="18" thickBot="1" x14ac:dyDescent="0.35">
      <c r="B17" s="170" t="s">
        <v>165</v>
      </c>
      <c r="C17" s="170"/>
      <c r="D17" s="170"/>
      <c r="E17" s="117"/>
      <c r="G17" s="42" t="s">
        <v>16</v>
      </c>
      <c r="H17" s="43"/>
      <c r="I17" s="43"/>
      <c r="J17" s="43"/>
      <c r="K17" s="43"/>
      <c r="L17" s="44"/>
    </row>
    <row r="18" spans="2:12" ht="13.5" thickTop="1" x14ac:dyDescent="0.2">
      <c r="B18" s="46"/>
      <c r="G18" s="21"/>
      <c r="H18" s="18"/>
      <c r="I18" s="18"/>
      <c r="J18" s="18"/>
      <c r="K18" s="18"/>
      <c r="L18" s="22"/>
    </row>
    <row r="19" spans="2:12" ht="25.5" x14ac:dyDescent="0.2">
      <c r="B19" s="142" t="s">
        <v>57</v>
      </c>
      <c r="C19" s="94">
        <v>0</v>
      </c>
      <c r="D19" s="115" t="s">
        <v>169</v>
      </c>
      <c r="E19" s="50"/>
      <c r="G19" s="144" t="s">
        <v>17</v>
      </c>
      <c r="H19" s="13" t="s">
        <v>18</v>
      </c>
      <c r="I19" s="13" t="s">
        <v>19</v>
      </c>
      <c r="J19" s="13" t="s">
        <v>20</v>
      </c>
      <c r="K19" s="13" t="s">
        <v>23</v>
      </c>
      <c r="L19" s="14" t="s">
        <v>21</v>
      </c>
    </row>
    <row r="20" spans="2:12" x14ac:dyDescent="0.2">
      <c r="B20" s="142" t="s">
        <v>4</v>
      </c>
      <c r="C20" s="94">
        <v>0</v>
      </c>
      <c r="D20" s="115" t="s">
        <v>170</v>
      </c>
      <c r="E20" s="50"/>
      <c r="G20" s="21"/>
      <c r="H20" s="18"/>
      <c r="I20" s="18"/>
      <c r="J20" s="18"/>
      <c r="K20" s="18"/>
      <c r="L20" s="22"/>
    </row>
    <row r="21" spans="2:12" ht="25.5" x14ac:dyDescent="0.2">
      <c r="B21" s="46"/>
      <c r="G21" s="32" t="s">
        <v>24</v>
      </c>
      <c r="H21" s="26" t="s">
        <v>25</v>
      </c>
      <c r="I21" s="41"/>
      <c r="J21" s="28" t="s">
        <v>45</v>
      </c>
      <c r="K21" s="23" t="s">
        <v>47</v>
      </c>
      <c r="L21" s="16"/>
    </row>
    <row r="22" spans="2:12" x14ac:dyDescent="0.2">
      <c r="B22" s="91"/>
      <c r="C22" s="91"/>
      <c r="D22" s="91"/>
      <c r="E22" s="91"/>
      <c r="G22" s="32" t="s">
        <v>28</v>
      </c>
      <c r="H22" s="26" t="s">
        <v>26</v>
      </c>
      <c r="I22" s="41"/>
      <c r="J22" s="28" t="s">
        <v>2</v>
      </c>
      <c r="K22" s="23" t="s">
        <v>48</v>
      </c>
      <c r="L22" s="16"/>
    </row>
    <row r="23" spans="2:12" ht="29.25" customHeight="1" x14ac:dyDescent="0.2">
      <c r="B23" s="91"/>
      <c r="C23" s="91"/>
      <c r="D23" s="91"/>
      <c r="E23" s="91"/>
      <c r="G23" s="32" t="s">
        <v>29</v>
      </c>
      <c r="H23" s="26" t="s">
        <v>27</v>
      </c>
      <c r="I23" s="41"/>
      <c r="J23" s="28" t="s">
        <v>30</v>
      </c>
      <c r="K23" s="23" t="s">
        <v>48</v>
      </c>
      <c r="L23" s="16"/>
    </row>
    <row r="24" spans="2:12" ht="15" x14ac:dyDescent="0.2">
      <c r="B24" s="91"/>
      <c r="C24" s="91"/>
      <c r="D24" s="91"/>
      <c r="E24" s="91"/>
      <c r="G24" s="32" t="s">
        <v>31</v>
      </c>
      <c r="H24" s="27" t="s">
        <v>32</v>
      </c>
      <c r="I24" s="41"/>
      <c r="J24" s="28" t="s">
        <v>168</v>
      </c>
      <c r="K24" s="23" t="s">
        <v>48</v>
      </c>
      <c r="L24" s="16"/>
    </row>
    <row r="25" spans="2:12" x14ac:dyDescent="0.2">
      <c r="B25" s="91"/>
      <c r="C25" s="91"/>
      <c r="D25" s="91"/>
      <c r="E25" s="91"/>
      <c r="G25" s="32" t="s">
        <v>39</v>
      </c>
      <c r="H25" s="26" t="s">
        <v>33</v>
      </c>
      <c r="I25" s="41"/>
      <c r="J25" s="28" t="s">
        <v>167</v>
      </c>
      <c r="K25" s="23" t="s">
        <v>48</v>
      </c>
      <c r="L25" s="16"/>
    </row>
    <row r="26" spans="2:12" ht="29.25" customHeight="1" x14ac:dyDescent="0.2">
      <c r="B26" s="91"/>
      <c r="C26" s="91"/>
      <c r="D26" s="91"/>
      <c r="E26" s="91"/>
      <c r="G26" s="32" t="s">
        <v>184</v>
      </c>
      <c r="H26" s="26" t="s">
        <v>34</v>
      </c>
      <c r="I26" s="41"/>
      <c r="J26" s="28" t="s">
        <v>42</v>
      </c>
      <c r="K26" s="23" t="s">
        <v>48</v>
      </c>
      <c r="L26" s="16"/>
    </row>
    <row r="27" spans="2:12" x14ac:dyDescent="0.2">
      <c r="B27" s="91"/>
      <c r="C27" s="91"/>
      <c r="D27" s="91"/>
      <c r="E27" s="91"/>
      <c r="G27" s="32" t="s">
        <v>40</v>
      </c>
      <c r="H27" s="26" t="s">
        <v>35</v>
      </c>
      <c r="I27" s="41"/>
      <c r="J27" s="28" t="s">
        <v>41</v>
      </c>
      <c r="K27" s="23" t="s">
        <v>48</v>
      </c>
      <c r="L27" s="16"/>
    </row>
    <row r="28" spans="2:12" ht="15.75" thickBot="1" x14ac:dyDescent="0.25">
      <c r="B28" s="91"/>
      <c r="C28" s="91"/>
      <c r="D28" s="91"/>
      <c r="E28" s="91"/>
      <c r="G28" s="167" t="s">
        <v>36</v>
      </c>
      <c r="H28" s="168"/>
      <c r="I28" s="168"/>
      <c r="J28" s="168"/>
      <c r="K28" s="168"/>
      <c r="L28" s="169"/>
    </row>
    <row r="29" spans="2:12" ht="54" customHeight="1" thickTop="1" thickBot="1" x14ac:dyDescent="0.3">
      <c r="B29" s="91"/>
      <c r="C29" s="91"/>
      <c r="D29" s="91"/>
      <c r="E29" s="91"/>
      <c r="G29" s="32" t="s">
        <v>43</v>
      </c>
      <c r="H29" s="25" t="s">
        <v>37</v>
      </c>
      <c r="I29" s="34" t="e">
        <f>(D_La*D_a*D_Wa*D_ƿ*D_DFT)/D_VS</f>
        <v>#DIV/0!</v>
      </c>
      <c r="J29" s="28" t="s">
        <v>171</v>
      </c>
      <c r="K29" s="23" t="s">
        <v>46</v>
      </c>
      <c r="L29" s="16"/>
    </row>
    <row r="30" spans="2:12" ht="57.75" customHeight="1" thickTop="1" thickBot="1" x14ac:dyDescent="0.25">
      <c r="B30" s="91"/>
      <c r="C30" s="91"/>
      <c r="D30" s="91"/>
      <c r="E30" s="91"/>
      <c r="G30" s="31" t="s">
        <v>44</v>
      </c>
      <c r="H30" s="30" t="s">
        <v>38</v>
      </c>
      <c r="I30" s="35" t="e">
        <f>0.0329*(D_Mrel/D_t)</f>
        <v>#DIV/0!</v>
      </c>
      <c r="J30" s="29" t="s">
        <v>166</v>
      </c>
      <c r="K30" s="33" t="s">
        <v>46</v>
      </c>
      <c r="L30" s="24"/>
    </row>
    <row r="31" spans="2:12" x14ac:dyDescent="0.2">
      <c r="G31" s="19"/>
      <c r="H31" s="20"/>
    </row>
    <row r="32" spans="2:12" x14ac:dyDescent="0.2">
      <c r="G32" s="19"/>
      <c r="H32" s="20"/>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19"/>
      <c r="C40" s="20"/>
    </row>
    <row r="41" spans="2:7" ht="12.75" hidden="1" customHeight="1" x14ac:dyDescent="0.2">
      <c r="B41" s="19"/>
      <c r="C41" s="20"/>
      <c r="E41" s="46"/>
      <c r="G41" s="46"/>
    </row>
    <row r="42" spans="2:7" ht="12.75" hidden="1" customHeight="1" x14ac:dyDescent="0.2">
      <c r="B42" s="46"/>
      <c r="C42" s="46"/>
      <c r="D42" s="46"/>
      <c r="E42" s="46"/>
      <c r="G42" s="46"/>
    </row>
    <row r="43" spans="2:7" ht="41.25" hidden="1" customHeight="1" x14ac:dyDescent="0.2">
      <c r="B43" s="46"/>
      <c r="C43" s="46"/>
      <c r="D43" s="46"/>
      <c r="F43" s="46"/>
      <c r="G43" s="46"/>
    </row>
    <row r="44" spans="2:7" ht="12.75" hidden="1" customHeight="1" x14ac:dyDescent="0.2">
      <c r="F44" s="46"/>
      <c r="G44" s="46"/>
    </row>
    <row r="45" spans="2:7" ht="12.75" hidden="1" customHeight="1" x14ac:dyDescent="0.2">
      <c r="F45" s="46"/>
      <c r="G45" s="46"/>
    </row>
    <row r="46" spans="2:7" ht="12.75" hidden="1" customHeight="1" x14ac:dyDescent="0.2">
      <c r="E46" s="46"/>
      <c r="F46" s="46"/>
      <c r="G46" s="46"/>
    </row>
    <row r="47" spans="2:7" ht="12.75" hidden="1" customHeight="1" x14ac:dyDescent="0.2">
      <c r="B47" s="46"/>
      <c r="C47" s="46"/>
      <c r="D47" s="46"/>
      <c r="E47" s="46"/>
      <c r="F47" s="46"/>
      <c r="G47" s="46"/>
    </row>
    <row r="48" spans="2:7" ht="12.75" hidden="1" customHeight="1" x14ac:dyDescent="0.2">
      <c r="B48" s="46"/>
      <c r="C48" s="46"/>
      <c r="D48" s="46"/>
      <c r="E48" s="46"/>
      <c r="F48" s="46"/>
      <c r="G48" s="46"/>
    </row>
    <row r="49" spans="2:7" ht="12.75" hidden="1" customHeight="1" x14ac:dyDescent="0.2">
      <c r="B49" s="46"/>
      <c r="C49" s="46"/>
      <c r="D49" s="46"/>
      <c r="E49" s="46"/>
      <c r="F49" s="46"/>
      <c r="G49" s="46"/>
    </row>
    <row r="50" spans="2:7" ht="12.75" hidden="1" customHeight="1" x14ac:dyDescent="0.2">
      <c r="B50" s="46"/>
      <c r="C50" s="46"/>
      <c r="D50" s="46"/>
      <c r="E50" s="46"/>
      <c r="F50" s="46"/>
      <c r="G50" s="46"/>
    </row>
    <row r="51" spans="2:7" ht="12.75" hidden="1" customHeight="1" x14ac:dyDescent="0.2">
      <c r="B51" s="46"/>
      <c r="C51" s="46"/>
      <c r="D51" s="46"/>
      <c r="E51" s="46"/>
      <c r="F51" s="46"/>
      <c r="G51" s="46"/>
    </row>
    <row r="52" spans="2:7" ht="12.75" hidden="1" customHeight="1" x14ac:dyDescent="0.2">
      <c r="B52" s="46"/>
      <c r="C52" s="46"/>
      <c r="D52" s="46"/>
      <c r="E52" s="46"/>
      <c r="F52" s="46"/>
      <c r="G52" s="46"/>
    </row>
    <row r="53" spans="2:7" ht="12.75" hidden="1" customHeight="1" x14ac:dyDescent="0.2">
      <c r="B53" s="46"/>
      <c r="C53" s="46"/>
      <c r="D53" s="46"/>
      <c r="E53" s="46"/>
      <c r="F53" s="46"/>
      <c r="G53" s="46"/>
    </row>
    <row r="54" spans="2:7" ht="12.75" hidden="1" customHeight="1" x14ac:dyDescent="0.2">
      <c r="B54" s="46"/>
      <c r="C54" s="46"/>
      <c r="D54" s="46"/>
      <c r="E54" s="46"/>
      <c r="F54" s="46"/>
      <c r="G54" s="46"/>
    </row>
    <row r="55" spans="2:7" ht="12.75" hidden="1" customHeight="1" x14ac:dyDescent="0.2">
      <c r="B55" s="46"/>
      <c r="C55" s="46"/>
      <c r="D55" s="46"/>
      <c r="E55" s="46"/>
      <c r="F55" s="46"/>
      <c r="G55" s="46"/>
    </row>
    <row r="56" spans="2:7" ht="12.75" hidden="1" customHeight="1" x14ac:dyDescent="0.2">
      <c r="B56" s="46"/>
      <c r="C56" s="46"/>
      <c r="D56" s="46"/>
      <c r="E56" s="46"/>
      <c r="F56" s="46"/>
      <c r="G56" s="46"/>
    </row>
    <row r="57" spans="2:7" ht="12.75" hidden="1" customHeight="1" x14ac:dyDescent="0.2">
      <c r="B57" s="46"/>
      <c r="C57" s="46"/>
      <c r="D57" s="46"/>
      <c r="E57" s="46"/>
      <c r="F57" s="46"/>
      <c r="G57" s="46"/>
    </row>
    <row r="58" spans="2:7" ht="12.75" hidden="1" customHeight="1" x14ac:dyDescent="0.2">
      <c r="B58" s="46"/>
      <c r="C58" s="46"/>
      <c r="D58" s="46"/>
      <c r="E58" s="46"/>
      <c r="F58" s="46"/>
      <c r="G58" s="46"/>
    </row>
    <row r="59" spans="2:7" ht="12.75" hidden="1" customHeight="1" x14ac:dyDescent="0.2">
      <c r="B59" s="46"/>
      <c r="C59" s="46"/>
      <c r="D59" s="46"/>
      <c r="E59" s="46"/>
      <c r="F59" s="46"/>
      <c r="G59" s="46"/>
    </row>
    <row r="60" spans="2:7" ht="12.75" hidden="1" customHeight="1" x14ac:dyDescent="0.2">
      <c r="B60" s="46"/>
      <c r="C60" s="46"/>
      <c r="D60" s="46"/>
      <c r="E60" s="46"/>
      <c r="F60" s="46"/>
      <c r="G60" s="46"/>
    </row>
    <row r="61" spans="2:7" ht="12.75" hidden="1" customHeight="1" x14ac:dyDescent="0.2">
      <c r="B61" s="46"/>
      <c r="C61" s="46"/>
      <c r="D61" s="46"/>
      <c r="E61" s="46"/>
      <c r="F61" s="46"/>
      <c r="G61" s="46"/>
    </row>
    <row r="62" spans="2:7" ht="12.75" hidden="1" customHeight="1" x14ac:dyDescent="0.2">
      <c r="B62" s="46"/>
      <c r="C62" s="46"/>
      <c r="D62" s="46"/>
      <c r="E62" s="46"/>
      <c r="F62" s="46"/>
      <c r="G62" s="46"/>
    </row>
    <row r="63" spans="2:7" ht="12.75" hidden="1" customHeight="1" x14ac:dyDescent="0.2">
      <c r="B63" s="46"/>
      <c r="C63" s="46"/>
      <c r="D63" s="46"/>
      <c r="E63" s="46"/>
      <c r="F63" s="46"/>
      <c r="G63" s="46"/>
    </row>
    <row r="64" spans="2:7" ht="12.75" hidden="1" customHeight="1" x14ac:dyDescent="0.2">
      <c r="B64" s="46"/>
      <c r="C64" s="46"/>
      <c r="D64" s="46"/>
      <c r="E64" s="46"/>
      <c r="F64" s="46"/>
      <c r="G64" s="46"/>
    </row>
    <row r="65" spans="2:7" ht="12.75" hidden="1" customHeight="1" x14ac:dyDescent="0.2">
      <c r="B65" s="46"/>
      <c r="C65" s="46"/>
      <c r="D65" s="46"/>
      <c r="E65" s="46"/>
      <c r="F65" s="46"/>
      <c r="G65" s="46"/>
    </row>
    <row r="66" spans="2:7" ht="12.75" hidden="1" customHeight="1" x14ac:dyDescent="0.2">
      <c r="B66" s="46"/>
      <c r="C66" s="46"/>
      <c r="D66" s="46"/>
      <c r="E66" s="46"/>
      <c r="F66" s="46"/>
      <c r="G66" s="46"/>
    </row>
    <row r="67" spans="2:7" ht="12.75" hidden="1" customHeight="1" x14ac:dyDescent="0.2">
      <c r="B67" s="46"/>
      <c r="C67" s="46"/>
      <c r="D67" s="46"/>
      <c r="E67" s="46"/>
      <c r="F67" s="46"/>
      <c r="G67" s="46"/>
    </row>
    <row r="68" spans="2:7" ht="12.75" hidden="1" customHeight="1" x14ac:dyDescent="0.2">
      <c r="B68" s="46"/>
      <c r="C68" s="46"/>
      <c r="D68" s="46"/>
      <c r="E68" s="46"/>
      <c r="F68" s="46"/>
      <c r="G68" s="46"/>
    </row>
    <row r="69" spans="2:7" ht="12.75" hidden="1" customHeight="1" x14ac:dyDescent="0.2">
      <c r="B69" s="46"/>
      <c r="C69" s="46"/>
      <c r="D69" s="46"/>
      <c r="F69" s="46"/>
    </row>
    <row r="70" spans="2:7" ht="12.75" hidden="1" customHeight="1" x14ac:dyDescent="0.2">
      <c r="F70" s="46"/>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ht="12.75" customHeight="1" x14ac:dyDescent="0.2"/>
    <row r="80" spans="2:7" ht="12.75" customHeight="1" x14ac:dyDescent="0.2"/>
    <row r="81" ht="12.75" customHeight="1" x14ac:dyDescent="0.2"/>
    <row r="82" ht="12.75" customHeight="1" x14ac:dyDescent="0.2"/>
  </sheetData>
  <mergeCells count="6">
    <mergeCell ref="G28:L28"/>
    <mergeCell ref="B2:L2"/>
    <mergeCell ref="B9:D9"/>
    <mergeCell ref="G5:H5"/>
    <mergeCell ref="B15:D15"/>
    <mergeCell ref="B17:D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2"/>
  <sheetViews>
    <sheetView zoomScale="85" zoomScaleNormal="85"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5" t="str">
        <f>Tooltype</f>
        <v>Freshwater calculator tool</v>
      </c>
      <c r="L4" s="3"/>
      <c r="O4" s="64"/>
    </row>
    <row r="5" spans="1:15" x14ac:dyDescent="0.2">
      <c r="A5" s="64"/>
      <c r="L5" s="3"/>
      <c r="O5" s="64"/>
    </row>
    <row r="6" spans="1:15" x14ac:dyDescent="0.2">
      <c r="A6" s="64"/>
      <c r="C6" s="59" t="s">
        <v>79</v>
      </c>
      <c r="D6" t="str">
        <f>Substance</f>
        <v>Zineb and DIDT</v>
      </c>
      <c r="L6" s="3"/>
      <c r="O6" s="64"/>
    </row>
    <row r="7" spans="1:15" x14ac:dyDescent="0.2">
      <c r="A7" s="64"/>
      <c r="C7" s="59" t="s">
        <v>80</v>
      </c>
      <c r="D7" t="str">
        <f>Version</f>
        <v>Version Final 1.1</v>
      </c>
      <c r="L7" s="3"/>
      <c r="O7" s="64"/>
    </row>
    <row r="8" spans="1:15" x14ac:dyDescent="0.2">
      <c r="A8" s="64"/>
      <c r="L8" s="3"/>
      <c r="O8" s="64"/>
    </row>
    <row r="9" spans="1:15" x14ac:dyDescent="0.2">
      <c r="A9" s="64"/>
      <c r="C9" s="173" t="s">
        <v>16</v>
      </c>
      <c r="D9" s="173"/>
      <c r="E9" s="173"/>
      <c r="F9" s="173"/>
      <c r="G9" s="173"/>
      <c r="L9" s="3"/>
      <c r="O9" s="64"/>
    </row>
    <row r="10" spans="1:15" s="63" customFormat="1" x14ac:dyDescent="0.2">
      <c r="A10" s="64"/>
      <c r="B10" s="3"/>
      <c r="C10" s="60"/>
      <c r="K10" s="3"/>
      <c r="L10" s="3"/>
      <c r="O10" s="64"/>
    </row>
    <row r="11" spans="1:15" x14ac:dyDescent="0.2">
      <c r="A11" s="64"/>
      <c r="C11" s="172" t="s">
        <v>90</v>
      </c>
      <c r="D11" s="172"/>
      <c r="E11" s="172"/>
      <c r="F11" s="172"/>
      <c r="G11" s="172"/>
      <c r="L11" s="3"/>
      <c r="O11" s="64"/>
    </row>
    <row r="12" spans="1:15" s="91" customFormat="1" x14ac:dyDescent="0.2">
      <c r="A12" s="64"/>
      <c r="B12" s="3"/>
      <c r="C12" s="112"/>
      <c r="D12" s="112"/>
      <c r="E12" s="112"/>
      <c r="G12" s="137" t="str">
        <f>Z_Compound_Name</f>
        <v>Zineb</v>
      </c>
      <c r="H12" s="137" t="str">
        <f>D_Compound_Name</f>
        <v>DIDT</v>
      </c>
      <c r="K12" s="3"/>
      <c r="L12" s="3"/>
      <c r="O12" s="64"/>
    </row>
    <row r="13" spans="1:15" s="63" customFormat="1" x14ac:dyDescent="0.2">
      <c r="A13" s="64"/>
      <c r="B13" s="3"/>
      <c r="C13" s="63" t="s">
        <v>67</v>
      </c>
      <c r="G13" s="63">
        <f>Application_Factor</f>
        <v>0.9</v>
      </c>
      <c r="H13" s="91">
        <f>Application_Factor</f>
        <v>0.9</v>
      </c>
      <c r="K13" s="3"/>
      <c r="L13" s="3"/>
      <c r="O13" s="64"/>
    </row>
    <row r="14" spans="1:15" s="63" customFormat="1" x14ac:dyDescent="0.2">
      <c r="A14" s="64"/>
      <c r="B14" s="3"/>
      <c r="C14" s="63" t="s">
        <v>89</v>
      </c>
      <c r="G14" s="152" t="e">
        <f>IF(ISBLANK(Z_Average_biocide_release_over_the_lifetime_of_the_paint_M),Z_User_Input!I30,Z_Average_biocide_release_over_the_lifetime_of_the_paint_M)</f>
        <v>#DIV/0!</v>
      </c>
      <c r="H14" s="152" t="e">
        <f>IF(ISBLANK(D_Average_biocide_release_over_the_lifetime_of_the_paint_M),D_User_Input!I30,D_Average_biocide_release_over_the_lifetime_of_the_paint_M)</f>
        <v>#DIV/0!</v>
      </c>
      <c r="K14" s="3"/>
      <c r="L14" s="3"/>
      <c r="O14" s="64"/>
    </row>
    <row r="15" spans="1:15" s="63" customFormat="1" x14ac:dyDescent="0.2">
      <c r="A15" s="64"/>
      <c r="B15" s="3"/>
      <c r="K15" s="3"/>
      <c r="L15" s="3"/>
      <c r="O15" s="64"/>
    </row>
    <row r="16" spans="1:15" s="63" customFormat="1" x14ac:dyDescent="0.2">
      <c r="A16" s="64"/>
      <c r="B16" s="3"/>
      <c r="C16" s="172" t="s">
        <v>58</v>
      </c>
      <c r="D16" s="172"/>
      <c r="E16" s="172"/>
      <c r="F16" s="172"/>
      <c r="G16" s="172"/>
      <c r="K16" s="3"/>
      <c r="L16" s="3"/>
      <c r="O16" s="64"/>
    </row>
    <row r="17" spans="1:17" s="91" customFormat="1" x14ac:dyDescent="0.2">
      <c r="A17" s="64"/>
      <c r="B17" s="3"/>
      <c r="C17" s="112"/>
      <c r="D17" s="112"/>
      <c r="E17" s="112"/>
      <c r="G17" s="137" t="str">
        <f>Z_Compound_Name</f>
        <v>Zineb</v>
      </c>
      <c r="H17" s="137" t="str">
        <f>D_Compound_Name</f>
        <v>DIDT</v>
      </c>
      <c r="K17" s="3"/>
      <c r="L17" s="3"/>
      <c r="O17" s="64"/>
    </row>
    <row r="18" spans="1:17" s="63" customFormat="1" x14ac:dyDescent="0.2">
      <c r="A18" s="64"/>
      <c r="B18" s="3"/>
      <c r="C18" s="174" t="s">
        <v>181</v>
      </c>
      <c r="D18" s="174"/>
      <c r="E18" s="174"/>
      <c r="F18" s="174"/>
      <c r="G18" s="153">
        <f>Z_PNEC_Aquatic_Inside</f>
        <v>0.219</v>
      </c>
      <c r="H18" s="153">
        <f>D_PNEC_Aquatic_Inside</f>
        <v>0.18</v>
      </c>
      <c r="K18" s="3"/>
      <c r="L18" s="3"/>
      <c r="O18" s="64"/>
    </row>
    <row r="19" spans="1:17" s="63" customFormat="1" x14ac:dyDescent="0.2">
      <c r="A19" s="64"/>
      <c r="B19" s="3"/>
      <c r="C19" s="174" t="s">
        <v>180</v>
      </c>
      <c r="D19" s="174"/>
      <c r="E19" s="174"/>
      <c r="F19" s="174"/>
      <c r="G19" s="153">
        <f>Z_PNEC_Sediment_Inside</f>
        <v>4.5499999999999999E-2</v>
      </c>
      <c r="H19" s="153">
        <f>D_PNEC_Sediment_Inside</f>
        <v>1.3699999999999999E-3</v>
      </c>
      <c r="K19" s="3"/>
      <c r="L19" s="3"/>
      <c r="O19" s="64"/>
    </row>
    <row r="20" spans="1:17" s="63" customFormat="1" x14ac:dyDescent="0.2">
      <c r="A20" s="64"/>
      <c r="B20" s="3"/>
      <c r="C20" s="174" t="s">
        <v>179</v>
      </c>
      <c r="D20" s="174"/>
      <c r="E20" s="174"/>
      <c r="F20" s="174"/>
      <c r="G20" s="153">
        <f>Z_PNEC_Aquatic_Surrounding</f>
        <v>0.219</v>
      </c>
      <c r="H20" s="153">
        <f>D_PNEC_Aquatic_Surrounding</f>
        <v>0.18</v>
      </c>
      <c r="K20" s="3"/>
      <c r="L20" s="3"/>
      <c r="O20" s="64"/>
    </row>
    <row r="21" spans="1:17" x14ac:dyDescent="0.2">
      <c r="A21" s="64"/>
      <c r="C21" s="174" t="s">
        <v>178</v>
      </c>
      <c r="D21" s="174"/>
      <c r="E21" s="174"/>
      <c r="F21" s="174"/>
      <c r="G21" s="153">
        <f>Z_PNEC_Sediment_Surrounding</f>
        <v>4.5499999999999999E-2</v>
      </c>
      <c r="H21" s="153">
        <f>D_PNEC_Sediment_Surrounding</f>
        <v>1.3699999999999999E-3</v>
      </c>
      <c r="L21" s="3"/>
      <c r="O21" s="64"/>
    </row>
    <row r="22" spans="1:17" x14ac:dyDescent="0.2">
      <c r="A22" s="64"/>
      <c r="L22" s="3"/>
      <c r="O22" s="64"/>
    </row>
    <row r="23" spans="1:17" x14ac:dyDescent="0.2">
      <c r="A23" s="64"/>
      <c r="C23" s="172" t="s">
        <v>56</v>
      </c>
      <c r="D23" s="172"/>
      <c r="E23" s="172"/>
      <c r="F23" s="172"/>
      <c r="G23" s="172"/>
      <c r="L23" s="3"/>
      <c r="O23" s="64"/>
    </row>
    <row r="24" spans="1:17" s="91" customFormat="1" x14ac:dyDescent="0.2">
      <c r="A24" s="64"/>
      <c r="B24" s="3"/>
      <c r="C24" s="112" t="str">
        <f>Z_Compound_Name</f>
        <v>Zineb</v>
      </c>
      <c r="D24" s="112"/>
      <c r="E24" s="112"/>
      <c r="F24" s="112"/>
      <c r="G24" s="112"/>
      <c r="K24" s="3"/>
      <c r="L24" s="3"/>
      <c r="O24" s="64"/>
    </row>
    <row r="25" spans="1:17" ht="25.5" x14ac:dyDescent="0.2">
      <c r="A25" s="64"/>
      <c r="F25" s="133" t="s">
        <v>174</v>
      </c>
      <c r="G25" s="133" t="s">
        <v>175</v>
      </c>
      <c r="L25" s="3"/>
      <c r="O25" s="64"/>
    </row>
    <row r="26" spans="1:17" x14ac:dyDescent="0.2">
      <c r="A26" s="64"/>
      <c r="C26" t="s">
        <v>185</v>
      </c>
      <c r="F26" s="134">
        <f>Z_Background_SW_Freshwater</f>
        <v>0</v>
      </c>
      <c r="G26" s="134">
        <f>Z_Background_Sed_Freshwater</f>
        <v>0</v>
      </c>
      <c r="L26" s="3"/>
      <c r="O26" s="64"/>
    </row>
    <row r="27" spans="1:17" s="91" customFormat="1" x14ac:dyDescent="0.2">
      <c r="A27" s="64"/>
      <c r="B27" s="3"/>
      <c r="K27" s="3"/>
      <c r="L27" s="3"/>
      <c r="O27" s="78"/>
      <c r="P27" s="70"/>
      <c r="Q27" s="70"/>
    </row>
    <row r="28" spans="1:17" s="91" customFormat="1" x14ac:dyDescent="0.2">
      <c r="A28" s="64"/>
      <c r="B28" s="3"/>
      <c r="C28" s="172" t="s">
        <v>56</v>
      </c>
      <c r="D28" s="172"/>
      <c r="E28" s="172"/>
      <c r="F28" s="172"/>
      <c r="G28" s="172"/>
      <c r="K28" s="3"/>
      <c r="L28" s="3"/>
      <c r="O28" s="78"/>
      <c r="P28" s="70"/>
      <c r="Q28" s="70"/>
    </row>
    <row r="29" spans="1:17" s="91" customFormat="1" x14ac:dyDescent="0.2">
      <c r="A29" s="64"/>
      <c r="B29" s="3"/>
      <c r="C29" s="112" t="str">
        <f>D_Compound_Name</f>
        <v>DIDT</v>
      </c>
      <c r="D29" s="112"/>
      <c r="E29" s="112"/>
      <c r="F29" s="112"/>
      <c r="G29" s="112"/>
      <c r="K29" s="3"/>
      <c r="L29" s="3"/>
      <c r="O29" s="78"/>
      <c r="P29" s="70"/>
      <c r="Q29" s="70"/>
    </row>
    <row r="30" spans="1:17" s="91" customFormat="1" ht="25.5" x14ac:dyDescent="0.2">
      <c r="A30" s="64"/>
      <c r="B30" s="3"/>
      <c r="F30" s="133" t="s">
        <v>174</v>
      </c>
      <c r="G30" s="133" t="s">
        <v>175</v>
      </c>
      <c r="K30" s="3"/>
      <c r="L30" s="3"/>
      <c r="O30" s="78"/>
      <c r="P30" s="70"/>
      <c r="Q30" s="70"/>
    </row>
    <row r="31" spans="1:17" s="91" customFormat="1" x14ac:dyDescent="0.2">
      <c r="A31" s="64"/>
      <c r="B31" s="3"/>
      <c r="C31" s="91" t="s">
        <v>185</v>
      </c>
      <c r="F31" s="134">
        <f>D_Background_SW_Freshwater</f>
        <v>0</v>
      </c>
      <c r="G31" s="134">
        <f>D_Background_Sed_Freshwater</f>
        <v>0</v>
      </c>
      <c r="K31" s="3"/>
      <c r="L31" s="3"/>
      <c r="O31" s="78"/>
      <c r="P31" s="70"/>
      <c r="Q31" s="70"/>
    </row>
    <row r="32" spans="1:17" x14ac:dyDescent="0.2">
      <c r="A32" s="64"/>
      <c r="L32" s="3"/>
      <c r="O32" s="78"/>
      <c r="P32" s="70"/>
      <c r="Q32" s="70"/>
    </row>
    <row r="33" spans="1:26" x14ac:dyDescent="0.2">
      <c r="A33" s="64"/>
      <c r="C33" s="60" t="s">
        <v>86</v>
      </c>
      <c r="L33" s="3"/>
      <c r="O33" s="78"/>
      <c r="P33" s="70"/>
      <c r="Q33" s="70"/>
    </row>
    <row r="34" spans="1:26" x14ac:dyDescent="0.2">
      <c r="A34" s="64"/>
      <c r="O34" s="78"/>
      <c r="P34" s="70"/>
      <c r="Q34" s="70"/>
    </row>
    <row r="35" spans="1:26" ht="80.099999999999994" customHeight="1" x14ac:dyDescent="0.2">
      <c r="A35" s="64"/>
      <c r="C35" s="175" t="s">
        <v>185</v>
      </c>
      <c r="D35" s="176"/>
      <c r="E35" s="177"/>
      <c r="F35" s="135" t="s">
        <v>195</v>
      </c>
      <c r="G35" s="135" t="s">
        <v>216</v>
      </c>
      <c r="H35" s="135" t="s">
        <v>222</v>
      </c>
      <c r="I35" s="135" t="s">
        <v>217</v>
      </c>
      <c r="K35"/>
      <c r="N35" s="72"/>
      <c r="O35" s="79"/>
      <c r="P35" s="72"/>
      <c r="Q35" s="70"/>
      <c r="S35" s="70"/>
      <c r="T35" s="62"/>
      <c r="U35" s="62"/>
      <c r="V35" s="62"/>
      <c r="W35" s="62"/>
    </row>
    <row r="36" spans="1:26" x14ac:dyDescent="0.2">
      <c r="A36" s="64"/>
      <c r="C36" s="175" t="s">
        <v>85</v>
      </c>
      <c r="D36" s="176"/>
      <c r="E36" s="177"/>
      <c r="F36" s="136" t="e">
        <f>'Z+D_Output_EU marinas'!F58</f>
        <v>#DIV/0!</v>
      </c>
      <c r="G36" s="136" t="e">
        <f>'Z+D_Output_EU marinas'!G58</f>
        <v>#DIV/0!</v>
      </c>
      <c r="H36" s="136" t="e">
        <f>'Z+D_Output_EU marinas'!H58</f>
        <v>#DIV/0!</v>
      </c>
      <c r="I36" s="136" t="e">
        <f>'Z+D_Output_EU marinas'!I58</f>
        <v>#DIV/0!</v>
      </c>
      <c r="K36"/>
      <c r="N36" s="70"/>
      <c r="O36" s="78"/>
      <c r="P36" s="70"/>
      <c r="Q36" s="70"/>
      <c r="R36" s="70"/>
      <c r="S36" s="70"/>
    </row>
    <row r="37" spans="1:26" ht="12.75" customHeight="1" x14ac:dyDescent="0.2">
      <c r="A37" s="64"/>
      <c r="C37" s="175" t="s">
        <v>14</v>
      </c>
      <c r="D37" s="176"/>
      <c r="E37" s="177"/>
      <c r="F37" s="136" t="e">
        <f>'Z+D_Output_EU marinas'!F59</f>
        <v>#DIV/0!</v>
      </c>
      <c r="G37" s="136" t="e">
        <f>'Z+D_Output_EU marinas'!G59</f>
        <v>#DIV/0!</v>
      </c>
      <c r="H37" s="136" t="e">
        <f>'Z+D_Output_EU marinas'!H59</f>
        <v>#DIV/0!</v>
      </c>
      <c r="I37" s="136" t="e">
        <f>'Z+D_Output_EU marinas'!I59</f>
        <v>#DIV/0!</v>
      </c>
      <c r="K37"/>
      <c r="O37" s="64"/>
    </row>
    <row r="38" spans="1:26" x14ac:dyDescent="0.2">
      <c r="A38" s="64"/>
      <c r="C38" s="175" t="s">
        <v>15</v>
      </c>
      <c r="D38" s="176"/>
      <c r="E38" s="177"/>
      <c r="F38" s="136" t="e">
        <f>'Z+D_Output_EU marinas'!F60</f>
        <v>#DIV/0!</v>
      </c>
      <c r="G38" s="136" t="e">
        <f>'Z+D_Output_EU marinas'!G60</f>
        <v>#DIV/0!</v>
      </c>
      <c r="H38" s="136" t="e">
        <f>'Z+D_Output_EU marinas'!H60</f>
        <v>#DIV/0!</v>
      </c>
      <c r="I38" s="136" t="e">
        <f>'Z+D_Output_EU marinas'!I60</f>
        <v>#DIV/0!</v>
      </c>
      <c r="K38"/>
      <c r="O38" s="64"/>
    </row>
    <row r="39" spans="1:26" x14ac:dyDescent="0.2">
      <c r="A39" s="64"/>
      <c r="C39" s="70"/>
      <c r="D39" s="70"/>
      <c r="E39" s="70"/>
      <c r="F39" s="70"/>
      <c r="G39" s="70"/>
      <c r="H39" s="70"/>
      <c r="I39" s="70"/>
      <c r="O39" s="64"/>
    </row>
    <row r="40" spans="1:26" x14ac:dyDescent="0.2">
      <c r="A40" s="64"/>
      <c r="B40" s="64"/>
      <c r="C40" s="65"/>
      <c r="D40" s="64"/>
      <c r="E40" s="64"/>
      <c r="F40" s="64"/>
      <c r="G40" s="64"/>
      <c r="H40" s="64"/>
      <c r="I40" s="64"/>
      <c r="J40" s="64"/>
      <c r="K40" s="64"/>
      <c r="L40" s="64"/>
      <c r="M40" s="64"/>
      <c r="N40" s="64"/>
      <c r="O40" s="64"/>
      <c r="Q40" s="71"/>
      <c r="R40" s="71"/>
      <c r="S40" s="70"/>
      <c r="T40" s="70"/>
      <c r="U40" s="70"/>
      <c r="V40" s="70"/>
      <c r="W40" s="70"/>
      <c r="X40" s="70"/>
      <c r="Y40" s="15"/>
      <c r="Z40" s="3"/>
    </row>
    <row r="41" spans="1:26" x14ac:dyDescent="0.2">
      <c r="A41" s="64"/>
      <c r="C41" s="60" t="s">
        <v>87</v>
      </c>
      <c r="O41" s="64"/>
    </row>
    <row r="42" spans="1:26" x14ac:dyDescent="0.2">
      <c r="A42" s="64"/>
      <c r="B42"/>
      <c r="O42" s="64"/>
    </row>
    <row r="43" spans="1:26" s="91" customFormat="1" x14ac:dyDescent="0.2">
      <c r="A43" s="64"/>
      <c r="B43" s="3"/>
      <c r="C43" s="106"/>
      <c r="D43" s="106"/>
      <c r="E43" s="106"/>
      <c r="F43" s="107"/>
      <c r="G43" s="107"/>
      <c r="H43" s="107"/>
      <c r="I43" s="107"/>
      <c r="K43" s="3"/>
      <c r="O43" s="64"/>
    </row>
    <row r="44" spans="1:26" s="63" customFormat="1" x14ac:dyDescent="0.2">
      <c r="A44" s="64"/>
      <c r="C44" s="59" t="s">
        <v>82</v>
      </c>
      <c r="K44" s="3"/>
      <c r="O44" s="64"/>
    </row>
    <row r="45" spans="1:26" x14ac:dyDescent="0.2">
      <c r="A45" s="64"/>
      <c r="C45" t="s">
        <v>91</v>
      </c>
      <c r="O45" s="64"/>
    </row>
    <row r="46" spans="1:26" ht="105.95" customHeight="1" x14ac:dyDescent="0.2">
      <c r="A46" s="64"/>
      <c r="C46" s="61" t="s">
        <v>9</v>
      </c>
      <c r="D46" s="178" t="s">
        <v>10</v>
      </c>
      <c r="E46" s="179"/>
      <c r="F46" s="135" t="s">
        <v>195</v>
      </c>
      <c r="G46" s="135" t="s">
        <v>216</v>
      </c>
      <c r="H46" s="135" t="s">
        <v>222</v>
      </c>
      <c r="I46" s="135" t="s">
        <v>217</v>
      </c>
      <c r="O46" s="64"/>
    </row>
    <row r="47" spans="1:26" x14ac:dyDescent="0.2">
      <c r="A47" s="64"/>
      <c r="C47" s="138" t="s">
        <v>106</v>
      </c>
      <c r="D47" s="138" t="s">
        <v>107</v>
      </c>
      <c r="E47" s="138">
        <v>1</v>
      </c>
      <c r="F47" s="136" t="e">
        <f>'Z+D_Output_EU marinas'!F12</f>
        <v>#DIV/0!</v>
      </c>
      <c r="G47" s="136" t="e">
        <f>'Z+D_Output_EU marinas'!G12</f>
        <v>#DIV/0!</v>
      </c>
      <c r="H47" s="136" t="e">
        <f>'Z+D_Output_EU marinas'!H12</f>
        <v>#DIV/0!</v>
      </c>
      <c r="I47" s="136" t="e">
        <f>'Z+D_Output_EU marinas'!I12</f>
        <v>#DIV/0!</v>
      </c>
      <c r="O47" s="64"/>
    </row>
    <row r="48" spans="1:26" x14ac:dyDescent="0.2">
      <c r="A48" s="64"/>
      <c r="C48" s="138" t="s">
        <v>108</v>
      </c>
      <c r="D48" s="138" t="s">
        <v>107</v>
      </c>
      <c r="E48" s="138">
        <v>2</v>
      </c>
      <c r="F48" s="136" t="e">
        <f>'Z+D_Output_EU marinas'!F13</f>
        <v>#DIV/0!</v>
      </c>
      <c r="G48" s="136" t="e">
        <f>'Z+D_Output_EU marinas'!G13</f>
        <v>#DIV/0!</v>
      </c>
      <c r="H48" s="136" t="e">
        <f>'Z+D_Output_EU marinas'!H13</f>
        <v>#DIV/0!</v>
      </c>
      <c r="I48" s="136" t="e">
        <f>'Z+D_Output_EU marinas'!I13</f>
        <v>#DIV/0!</v>
      </c>
      <c r="O48" s="64"/>
    </row>
    <row r="49" spans="1:15" x14ac:dyDescent="0.2">
      <c r="A49" s="64"/>
      <c r="C49" s="138" t="s">
        <v>109</v>
      </c>
      <c r="D49" s="138" t="s">
        <v>107</v>
      </c>
      <c r="E49" s="138">
        <v>3</v>
      </c>
      <c r="F49" s="136" t="e">
        <f>'Z+D_Output_EU marinas'!F14</f>
        <v>#DIV/0!</v>
      </c>
      <c r="G49" s="136" t="e">
        <f>'Z+D_Output_EU marinas'!G14</f>
        <v>#DIV/0!</v>
      </c>
      <c r="H49" s="136" t="e">
        <f>'Z+D_Output_EU marinas'!H14</f>
        <v>#DIV/0!</v>
      </c>
      <c r="I49" s="136" t="e">
        <f>'Z+D_Output_EU marinas'!I14</f>
        <v>#DIV/0!</v>
      </c>
      <c r="O49" s="64"/>
    </row>
    <row r="50" spans="1:15" x14ac:dyDescent="0.2">
      <c r="A50" s="64"/>
      <c r="C50" s="138" t="s">
        <v>110</v>
      </c>
      <c r="D50" s="138" t="s">
        <v>107</v>
      </c>
      <c r="E50" s="138">
        <v>4</v>
      </c>
      <c r="F50" s="136" t="e">
        <f>'Z+D_Output_EU marinas'!F15</f>
        <v>#DIV/0!</v>
      </c>
      <c r="G50" s="136" t="e">
        <f>'Z+D_Output_EU marinas'!G15</f>
        <v>#DIV/0!</v>
      </c>
      <c r="H50" s="136" t="e">
        <f>'Z+D_Output_EU marinas'!H15</f>
        <v>#DIV/0!</v>
      </c>
      <c r="I50" s="136" t="e">
        <f>'Z+D_Output_EU marinas'!I15</f>
        <v>#DIV/0!</v>
      </c>
      <c r="O50" s="64"/>
    </row>
    <row r="51" spans="1:15" x14ac:dyDescent="0.2">
      <c r="A51" s="64"/>
      <c r="C51" s="138" t="s">
        <v>111</v>
      </c>
      <c r="D51" s="138" t="s">
        <v>107</v>
      </c>
      <c r="E51" s="138">
        <v>5</v>
      </c>
      <c r="F51" s="136" t="e">
        <f>'Z+D_Output_EU marinas'!F16</f>
        <v>#DIV/0!</v>
      </c>
      <c r="G51" s="136" t="e">
        <f>'Z+D_Output_EU marinas'!G16</f>
        <v>#DIV/0!</v>
      </c>
      <c r="H51" s="136" t="e">
        <f>'Z+D_Output_EU marinas'!H16</f>
        <v>#DIV/0!</v>
      </c>
      <c r="I51" s="136" t="e">
        <f>'Z+D_Output_EU marinas'!I16</f>
        <v>#DIV/0!</v>
      </c>
      <c r="O51" s="64"/>
    </row>
    <row r="52" spans="1:15" x14ac:dyDescent="0.2">
      <c r="A52" s="64"/>
      <c r="C52" s="138" t="s">
        <v>112</v>
      </c>
      <c r="D52" s="138" t="s">
        <v>107</v>
      </c>
      <c r="E52" s="138">
        <v>6</v>
      </c>
      <c r="F52" s="136" t="e">
        <f>'Z+D_Output_EU marinas'!F17</f>
        <v>#DIV/0!</v>
      </c>
      <c r="G52" s="136" t="e">
        <f>'Z+D_Output_EU marinas'!G17</f>
        <v>#DIV/0!</v>
      </c>
      <c r="H52" s="136" t="e">
        <f>'Z+D_Output_EU marinas'!H17</f>
        <v>#DIV/0!</v>
      </c>
      <c r="I52" s="136" t="e">
        <f>'Z+D_Output_EU marinas'!I17</f>
        <v>#DIV/0!</v>
      </c>
      <c r="O52" s="64"/>
    </row>
    <row r="53" spans="1:15" x14ac:dyDescent="0.2">
      <c r="A53" s="64"/>
      <c r="C53" s="138" t="s">
        <v>113</v>
      </c>
      <c r="D53" s="138" t="s">
        <v>107</v>
      </c>
      <c r="E53" s="138">
        <v>7</v>
      </c>
      <c r="F53" s="136" t="e">
        <f>'Z+D_Output_EU marinas'!F18</f>
        <v>#DIV/0!</v>
      </c>
      <c r="G53" s="136" t="e">
        <f>'Z+D_Output_EU marinas'!G18</f>
        <v>#DIV/0!</v>
      </c>
      <c r="H53" s="136" t="e">
        <f>'Z+D_Output_EU marinas'!H18</f>
        <v>#DIV/0!</v>
      </c>
      <c r="I53" s="136" t="e">
        <f>'Z+D_Output_EU marinas'!I18</f>
        <v>#DIV/0!</v>
      </c>
      <c r="O53" s="64"/>
    </row>
    <row r="54" spans="1:15" x14ac:dyDescent="0.2">
      <c r="A54" s="64"/>
      <c r="C54" s="138" t="s">
        <v>114</v>
      </c>
      <c r="D54" s="138" t="s">
        <v>115</v>
      </c>
      <c r="E54" s="138">
        <v>2</v>
      </c>
      <c r="F54" s="136" t="e">
        <f>'Z+D_Output_EU marinas'!F19</f>
        <v>#DIV/0!</v>
      </c>
      <c r="G54" s="136" t="e">
        <f>'Z+D_Output_EU marinas'!G19</f>
        <v>#DIV/0!</v>
      </c>
      <c r="H54" s="136" t="e">
        <f>'Z+D_Output_EU marinas'!H19</f>
        <v>#DIV/0!</v>
      </c>
      <c r="I54" s="136" t="e">
        <f>'Z+D_Output_EU marinas'!I19</f>
        <v>#DIV/0!</v>
      </c>
      <c r="O54" s="64"/>
    </row>
    <row r="55" spans="1:15" x14ac:dyDescent="0.2">
      <c r="A55" s="64"/>
      <c r="C55" s="138" t="s">
        <v>116</v>
      </c>
      <c r="D55" s="138" t="s">
        <v>115</v>
      </c>
      <c r="E55" s="138">
        <v>3</v>
      </c>
      <c r="F55" s="136" t="e">
        <f>'Z+D_Output_EU marinas'!F20</f>
        <v>#DIV/0!</v>
      </c>
      <c r="G55" s="136" t="e">
        <f>'Z+D_Output_EU marinas'!G20</f>
        <v>#DIV/0!</v>
      </c>
      <c r="H55" s="136" t="e">
        <f>'Z+D_Output_EU marinas'!H20</f>
        <v>#DIV/0!</v>
      </c>
      <c r="I55" s="136" t="e">
        <f>'Z+D_Output_EU marinas'!I20</f>
        <v>#DIV/0!</v>
      </c>
      <c r="O55" s="64"/>
    </row>
    <row r="56" spans="1:15" x14ac:dyDescent="0.2">
      <c r="A56" s="64"/>
      <c r="C56" s="138" t="s">
        <v>117</v>
      </c>
      <c r="D56" s="138" t="s">
        <v>115</v>
      </c>
      <c r="E56" s="138">
        <v>5</v>
      </c>
      <c r="F56" s="136" t="e">
        <f>'Z+D_Output_EU marinas'!F21</f>
        <v>#DIV/0!</v>
      </c>
      <c r="G56" s="136" t="e">
        <f>'Z+D_Output_EU marinas'!G21</f>
        <v>#DIV/0!</v>
      </c>
      <c r="H56" s="136" t="e">
        <f>'Z+D_Output_EU marinas'!H21</f>
        <v>#DIV/0!</v>
      </c>
      <c r="I56" s="136" t="e">
        <f>'Z+D_Output_EU marinas'!I21</f>
        <v>#DIV/0!</v>
      </c>
      <c r="O56" s="64"/>
    </row>
    <row r="57" spans="1:15" x14ac:dyDescent="0.2">
      <c r="A57" s="64"/>
      <c r="C57" s="138" t="s">
        <v>118</v>
      </c>
      <c r="D57" s="138" t="s">
        <v>115</v>
      </c>
      <c r="E57" s="138">
        <v>6</v>
      </c>
      <c r="F57" s="136" t="e">
        <f>'Z+D_Output_EU marinas'!F22</f>
        <v>#DIV/0!</v>
      </c>
      <c r="G57" s="136" t="e">
        <f>'Z+D_Output_EU marinas'!G22</f>
        <v>#DIV/0!</v>
      </c>
      <c r="H57" s="136" t="e">
        <f>'Z+D_Output_EU marinas'!H22</f>
        <v>#DIV/0!</v>
      </c>
      <c r="I57" s="136" t="e">
        <f>'Z+D_Output_EU marinas'!I22</f>
        <v>#DIV/0!</v>
      </c>
      <c r="O57" s="64"/>
    </row>
    <row r="58" spans="1:15" x14ac:dyDescent="0.2">
      <c r="A58" s="64"/>
      <c r="C58" s="138" t="s">
        <v>119</v>
      </c>
      <c r="D58" s="138" t="s">
        <v>115</v>
      </c>
      <c r="E58" s="138">
        <v>11</v>
      </c>
      <c r="F58" s="136" t="e">
        <f>'Z+D_Output_EU marinas'!F23</f>
        <v>#DIV/0!</v>
      </c>
      <c r="G58" s="136" t="e">
        <f>'Z+D_Output_EU marinas'!G23</f>
        <v>#DIV/0!</v>
      </c>
      <c r="H58" s="136" t="e">
        <f>'Z+D_Output_EU marinas'!H23</f>
        <v>#DIV/0!</v>
      </c>
      <c r="I58" s="136" t="e">
        <f>'Z+D_Output_EU marinas'!I23</f>
        <v>#DIV/0!</v>
      </c>
      <c r="O58" s="64"/>
    </row>
    <row r="59" spans="1:15" x14ac:dyDescent="0.2">
      <c r="A59" s="64"/>
      <c r="C59" s="138" t="s">
        <v>120</v>
      </c>
      <c r="D59" s="138" t="s">
        <v>115</v>
      </c>
      <c r="E59" s="138">
        <v>12</v>
      </c>
      <c r="F59" s="136" t="e">
        <f>'Z+D_Output_EU marinas'!F24</f>
        <v>#DIV/0!</v>
      </c>
      <c r="G59" s="136" t="e">
        <f>'Z+D_Output_EU marinas'!G24</f>
        <v>#DIV/0!</v>
      </c>
      <c r="H59" s="136" t="e">
        <f>'Z+D_Output_EU marinas'!H24</f>
        <v>#DIV/0!</v>
      </c>
      <c r="I59" s="136" t="e">
        <f>'Z+D_Output_EU marinas'!I24</f>
        <v>#DIV/0!</v>
      </c>
      <c r="O59" s="64"/>
    </row>
    <row r="60" spans="1:15" x14ac:dyDescent="0.2">
      <c r="A60" s="64"/>
      <c r="C60" s="138" t="s">
        <v>121</v>
      </c>
      <c r="D60" s="138" t="s">
        <v>12</v>
      </c>
      <c r="E60" s="138" t="s">
        <v>122</v>
      </c>
      <c r="F60" s="136" t="e">
        <f>'Z+D_Output_EU marinas'!F25</f>
        <v>#DIV/0!</v>
      </c>
      <c r="G60" s="136" t="e">
        <f>'Z+D_Output_EU marinas'!G25</f>
        <v>#DIV/0!</v>
      </c>
      <c r="H60" s="136" t="e">
        <f>'Z+D_Output_EU marinas'!H25</f>
        <v>#DIV/0!</v>
      </c>
      <c r="I60" s="136" t="e">
        <f>'Z+D_Output_EU marinas'!I25</f>
        <v>#DIV/0!</v>
      </c>
      <c r="O60" s="64"/>
    </row>
    <row r="61" spans="1:15" x14ac:dyDescent="0.2">
      <c r="A61" s="64"/>
      <c r="C61" s="138" t="s">
        <v>123</v>
      </c>
      <c r="D61" s="138" t="s">
        <v>12</v>
      </c>
      <c r="E61" s="138" t="s">
        <v>124</v>
      </c>
      <c r="F61" s="136" t="e">
        <f>'Z+D_Output_EU marinas'!F26</f>
        <v>#DIV/0!</v>
      </c>
      <c r="G61" s="136" t="e">
        <f>'Z+D_Output_EU marinas'!G26</f>
        <v>#DIV/0!</v>
      </c>
      <c r="H61" s="136" t="e">
        <f>'Z+D_Output_EU marinas'!H26</f>
        <v>#DIV/0!</v>
      </c>
      <c r="I61" s="136" t="e">
        <f>'Z+D_Output_EU marinas'!I26</f>
        <v>#DIV/0!</v>
      </c>
      <c r="O61" s="64"/>
    </row>
    <row r="62" spans="1:15" x14ac:dyDescent="0.2">
      <c r="A62" s="64"/>
      <c r="C62" s="138" t="s">
        <v>125</v>
      </c>
      <c r="D62" s="138" t="s">
        <v>12</v>
      </c>
      <c r="E62" s="138" t="s">
        <v>126</v>
      </c>
      <c r="F62" s="136" t="e">
        <f>'Z+D_Output_EU marinas'!F27</f>
        <v>#DIV/0!</v>
      </c>
      <c r="G62" s="136" t="e">
        <f>'Z+D_Output_EU marinas'!G27</f>
        <v>#DIV/0!</v>
      </c>
      <c r="H62" s="136" t="e">
        <f>'Z+D_Output_EU marinas'!H27</f>
        <v>#DIV/0!</v>
      </c>
      <c r="I62" s="136" t="e">
        <f>'Z+D_Output_EU marinas'!I27</f>
        <v>#DIV/0!</v>
      </c>
      <c r="O62" s="64"/>
    </row>
    <row r="63" spans="1:15" x14ac:dyDescent="0.2">
      <c r="A63" s="64"/>
      <c r="C63" s="138" t="s">
        <v>127</v>
      </c>
      <c r="D63" s="138" t="s">
        <v>12</v>
      </c>
      <c r="E63" s="138" t="s">
        <v>128</v>
      </c>
      <c r="F63" s="136" t="e">
        <f>'Z+D_Output_EU marinas'!F28</f>
        <v>#DIV/0!</v>
      </c>
      <c r="G63" s="136" t="e">
        <f>'Z+D_Output_EU marinas'!G28</f>
        <v>#DIV/0!</v>
      </c>
      <c r="H63" s="136" t="e">
        <f>'Z+D_Output_EU marinas'!H28</f>
        <v>#DIV/0!</v>
      </c>
      <c r="I63" s="136" t="e">
        <f>'Z+D_Output_EU marinas'!I28</f>
        <v>#DIV/0!</v>
      </c>
      <c r="O63" s="64"/>
    </row>
    <row r="64" spans="1:15" x14ac:dyDescent="0.2">
      <c r="A64" s="64"/>
      <c r="C64" s="138" t="s">
        <v>129</v>
      </c>
      <c r="D64" s="138" t="s">
        <v>12</v>
      </c>
      <c r="E64" s="138" t="s">
        <v>130</v>
      </c>
      <c r="F64" s="136" t="e">
        <f>'Z+D_Output_EU marinas'!F29</f>
        <v>#DIV/0!</v>
      </c>
      <c r="G64" s="136" t="e">
        <f>'Z+D_Output_EU marinas'!G29</f>
        <v>#DIV/0!</v>
      </c>
      <c r="H64" s="136" t="e">
        <f>'Z+D_Output_EU marinas'!H29</f>
        <v>#DIV/0!</v>
      </c>
      <c r="I64" s="136" t="e">
        <f>'Z+D_Output_EU marinas'!I29</f>
        <v>#DIV/0!</v>
      </c>
      <c r="O64" s="64"/>
    </row>
    <row r="65" spans="1:15" x14ac:dyDescent="0.2">
      <c r="A65" s="64"/>
      <c r="C65" s="138" t="s">
        <v>131</v>
      </c>
      <c r="D65" s="138" t="s">
        <v>12</v>
      </c>
      <c r="E65" s="138" t="s">
        <v>132</v>
      </c>
      <c r="F65" s="136" t="e">
        <f>'Z+D_Output_EU marinas'!F30</f>
        <v>#DIV/0!</v>
      </c>
      <c r="G65" s="136" t="e">
        <f>'Z+D_Output_EU marinas'!G30</f>
        <v>#DIV/0!</v>
      </c>
      <c r="H65" s="136" t="e">
        <f>'Z+D_Output_EU marinas'!H30</f>
        <v>#DIV/0!</v>
      </c>
      <c r="I65" s="136" t="e">
        <f>'Z+D_Output_EU marinas'!I30</f>
        <v>#DIV/0!</v>
      </c>
      <c r="O65" s="64"/>
    </row>
    <row r="66" spans="1:15" x14ac:dyDescent="0.2">
      <c r="A66" s="64"/>
      <c r="C66" s="138" t="s">
        <v>133</v>
      </c>
      <c r="D66" s="138" t="s">
        <v>12</v>
      </c>
      <c r="E66" s="138" t="s">
        <v>134</v>
      </c>
      <c r="F66" s="136" t="e">
        <f>'Z+D_Output_EU marinas'!F31</f>
        <v>#DIV/0!</v>
      </c>
      <c r="G66" s="136" t="e">
        <f>'Z+D_Output_EU marinas'!G31</f>
        <v>#DIV/0!</v>
      </c>
      <c r="H66" s="136" t="e">
        <f>'Z+D_Output_EU marinas'!H31</f>
        <v>#DIV/0!</v>
      </c>
      <c r="I66" s="136" t="e">
        <f>'Z+D_Output_EU marinas'!I31</f>
        <v>#DIV/0!</v>
      </c>
      <c r="O66" s="64"/>
    </row>
    <row r="67" spans="1:15" x14ac:dyDescent="0.2">
      <c r="A67" s="64"/>
      <c r="C67" s="138" t="s">
        <v>135</v>
      </c>
      <c r="D67" s="138" t="s">
        <v>12</v>
      </c>
      <c r="E67" s="138" t="s">
        <v>136</v>
      </c>
      <c r="F67" s="136" t="e">
        <f>'Z+D_Output_EU marinas'!F32</f>
        <v>#DIV/0!</v>
      </c>
      <c r="G67" s="136" t="e">
        <f>'Z+D_Output_EU marinas'!G32</f>
        <v>#DIV/0!</v>
      </c>
      <c r="H67" s="136" t="e">
        <f>'Z+D_Output_EU marinas'!H32</f>
        <v>#DIV/0!</v>
      </c>
      <c r="I67" s="136" t="e">
        <f>'Z+D_Output_EU marinas'!I32</f>
        <v>#DIV/0!</v>
      </c>
      <c r="O67" s="64"/>
    </row>
    <row r="68" spans="1:15" x14ac:dyDescent="0.2">
      <c r="A68" s="64"/>
      <c r="C68" s="138" t="s">
        <v>137</v>
      </c>
      <c r="D68" s="138" t="s">
        <v>12</v>
      </c>
      <c r="E68" s="138" t="s">
        <v>138</v>
      </c>
      <c r="F68" s="136" t="e">
        <f>'Z+D_Output_EU marinas'!F33</f>
        <v>#DIV/0!</v>
      </c>
      <c r="G68" s="136" t="e">
        <f>'Z+D_Output_EU marinas'!G33</f>
        <v>#DIV/0!</v>
      </c>
      <c r="H68" s="136" t="e">
        <f>'Z+D_Output_EU marinas'!H33</f>
        <v>#DIV/0!</v>
      </c>
      <c r="I68" s="136" t="e">
        <f>'Z+D_Output_EU marinas'!I33</f>
        <v>#DIV/0!</v>
      </c>
      <c r="O68" s="64"/>
    </row>
    <row r="69" spans="1:15" x14ac:dyDescent="0.2">
      <c r="A69" s="64"/>
      <c r="C69" s="138" t="s">
        <v>139</v>
      </c>
      <c r="D69" s="138" t="s">
        <v>12</v>
      </c>
      <c r="E69" s="138" t="s">
        <v>140</v>
      </c>
      <c r="F69" s="136" t="e">
        <f>'Z+D_Output_EU marinas'!F34</f>
        <v>#DIV/0!</v>
      </c>
      <c r="G69" s="136" t="e">
        <f>'Z+D_Output_EU marinas'!G34</f>
        <v>#DIV/0!</v>
      </c>
      <c r="H69" s="136" t="e">
        <f>'Z+D_Output_EU marinas'!H34</f>
        <v>#DIV/0!</v>
      </c>
      <c r="I69" s="136" t="e">
        <f>'Z+D_Output_EU marinas'!I34</f>
        <v>#DIV/0!</v>
      </c>
      <c r="O69" s="64"/>
    </row>
    <row r="70" spans="1:15" x14ac:dyDescent="0.2">
      <c r="A70" s="64"/>
      <c r="C70" s="138" t="s">
        <v>141</v>
      </c>
      <c r="D70" s="138" t="s">
        <v>13</v>
      </c>
      <c r="E70" s="138">
        <v>1</v>
      </c>
      <c r="F70" s="136" t="e">
        <f>'Z+D_Output_EU marinas'!F35</f>
        <v>#DIV/0!</v>
      </c>
      <c r="G70" s="136" t="e">
        <f>'Z+D_Output_EU marinas'!G35</f>
        <v>#DIV/0!</v>
      </c>
      <c r="H70" s="136" t="e">
        <f>'Z+D_Output_EU marinas'!H35</f>
        <v>#DIV/0!</v>
      </c>
      <c r="I70" s="136" t="e">
        <f>'Z+D_Output_EU marinas'!I35</f>
        <v>#DIV/0!</v>
      </c>
      <c r="O70" s="64"/>
    </row>
    <row r="71" spans="1:15" x14ac:dyDescent="0.2">
      <c r="A71" s="64"/>
      <c r="C71" s="138" t="s">
        <v>142</v>
      </c>
      <c r="D71" s="138" t="s">
        <v>13</v>
      </c>
      <c r="E71" s="138">
        <v>3</v>
      </c>
      <c r="F71" s="136" t="e">
        <f>'Z+D_Output_EU marinas'!F36</f>
        <v>#DIV/0!</v>
      </c>
      <c r="G71" s="136" t="e">
        <f>'Z+D_Output_EU marinas'!G36</f>
        <v>#DIV/0!</v>
      </c>
      <c r="H71" s="136" t="e">
        <f>'Z+D_Output_EU marinas'!H36</f>
        <v>#DIV/0!</v>
      </c>
      <c r="I71" s="136" t="e">
        <f>'Z+D_Output_EU marinas'!I36</f>
        <v>#DIV/0!</v>
      </c>
      <c r="O71" s="64"/>
    </row>
    <row r="72" spans="1:15" x14ac:dyDescent="0.2">
      <c r="A72" s="64"/>
      <c r="C72" s="138" t="s">
        <v>143</v>
      </c>
      <c r="D72" s="138" t="s">
        <v>13</v>
      </c>
      <c r="E72" s="138">
        <v>4</v>
      </c>
      <c r="F72" s="136" t="e">
        <f>'Z+D_Output_EU marinas'!F37</f>
        <v>#DIV/0!</v>
      </c>
      <c r="G72" s="136" t="e">
        <f>'Z+D_Output_EU marinas'!G37</f>
        <v>#DIV/0!</v>
      </c>
      <c r="H72" s="136" t="e">
        <f>'Z+D_Output_EU marinas'!H37</f>
        <v>#DIV/0!</v>
      </c>
      <c r="I72" s="136" t="e">
        <f>'Z+D_Output_EU marinas'!I37</f>
        <v>#DIV/0!</v>
      </c>
      <c r="O72" s="64"/>
    </row>
    <row r="73" spans="1:15" x14ac:dyDescent="0.2">
      <c r="A73" s="64"/>
      <c r="C73" s="138" t="s">
        <v>144</v>
      </c>
      <c r="D73" s="138" t="s">
        <v>13</v>
      </c>
      <c r="E73" s="138">
        <v>6</v>
      </c>
      <c r="F73" s="136" t="e">
        <f>'Z+D_Output_EU marinas'!F38</f>
        <v>#DIV/0!</v>
      </c>
      <c r="G73" s="136" t="e">
        <f>'Z+D_Output_EU marinas'!G38</f>
        <v>#DIV/0!</v>
      </c>
      <c r="H73" s="136" t="e">
        <f>'Z+D_Output_EU marinas'!H38</f>
        <v>#DIV/0!</v>
      </c>
      <c r="I73" s="136" t="e">
        <f>'Z+D_Output_EU marinas'!I38</f>
        <v>#DIV/0!</v>
      </c>
      <c r="O73" s="64"/>
    </row>
    <row r="74" spans="1:15" x14ac:dyDescent="0.2">
      <c r="A74" s="64"/>
      <c r="C74" s="138" t="s">
        <v>145</v>
      </c>
      <c r="D74" s="138" t="s">
        <v>13</v>
      </c>
      <c r="E74" s="138">
        <v>7</v>
      </c>
      <c r="F74" s="136" t="e">
        <f>'Z+D_Output_EU marinas'!F39</f>
        <v>#DIV/0!</v>
      </c>
      <c r="G74" s="136" t="e">
        <f>'Z+D_Output_EU marinas'!G39</f>
        <v>#DIV/0!</v>
      </c>
      <c r="H74" s="136" t="e">
        <f>'Z+D_Output_EU marinas'!H39</f>
        <v>#DIV/0!</v>
      </c>
      <c r="I74" s="136" t="e">
        <f>'Z+D_Output_EU marinas'!I39</f>
        <v>#DIV/0!</v>
      </c>
      <c r="O74" s="64"/>
    </row>
    <row r="75" spans="1:15" x14ac:dyDescent="0.2">
      <c r="A75" s="64"/>
      <c r="C75" s="138" t="s">
        <v>146</v>
      </c>
      <c r="D75" s="138" t="s">
        <v>13</v>
      </c>
      <c r="E75" s="138">
        <v>8</v>
      </c>
      <c r="F75" s="136" t="e">
        <f>'Z+D_Output_EU marinas'!F40</f>
        <v>#DIV/0!</v>
      </c>
      <c r="G75" s="136" t="e">
        <f>'Z+D_Output_EU marinas'!G40</f>
        <v>#DIV/0!</v>
      </c>
      <c r="H75" s="136" t="e">
        <f>'Z+D_Output_EU marinas'!H40</f>
        <v>#DIV/0!</v>
      </c>
      <c r="I75" s="136" t="e">
        <f>'Z+D_Output_EU marinas'!I40</f>
        <v>#DIV/0!</v>
      </c>
      <c r="O75" s="64"/>
    </row>
    <row r="76" spans="1:15" x14ac:dyDescent="0.2">
      <c r="A76" s="64"/>
      <c r="C76" s="138" t="s">
        <v>147</v>
      </c>
      <c r="D76" s="138" t="s">
        <v>13</v>
      </c>
      <c r="E76" s="138">
        <v>14</v>
      </c>
      <c r="F76" s="136" t="e">
        <f>'Z+D_Output_EU marinas'!F41</f>
        <v>#DIV/0!</v>
      </c>
      <c r="G76" s="136" t="e">
        <f>'Z+D_Output_EU marinas'!G41</f>
        <v>#DIV/0!</v>
      </c>
      <c r="H76" s="136" t="e">
        <f>'Z+D_Output_EU marinas'!H41</f>
        <v>#DIV/0!</v>
      </c>
      <c r="I76" s="136" t="e">
        <f>'Z+D_Output_EU marinas'!I41</f>
        <v>#DIV/0!</v>
      </c>
      <c r="O76" s="64"/>
    </row>
    <row r="77" spans="1:15" x14ac:dyDescent="0.2">
      <c r="A77" s="64"/>
      <c r="C77" s="138" t="s">
        <v>148</v>
      </c>
      <c r="D77" s="138" t="s">
        <v>13</v>
      </c>
      <c r="E77" s="138">
        <v>17</v>
      </c>
      <c r="F77" s="136" t="e">
        <f>'Z+D_Output_EU marinas'!F42</f>
        <v>#DIV/0!</v>
      </c>
      <c r="G77" s="136" t="e">
        <f>'Z+D_Output_EU marinas'!G42</f>
        <v>#DIV/0!</v>
      </c>
      <c r="H77" s="136" t="e">
        <f>'Z+D_Output_EU marinas'!H42</f>
        <v>#DIV/0!</v>
      </c>
      <c r="I77" s="136" t="e">
        <f>'Z+D_Output_EU marinas'!I42</f>
        <v>#DIV/0!</v>
      </c>
      <c r="O77" s="64"/>
    </row>
    <row r="78" spans="1:15" x14ac:dyDescent="0.2">
      <c r="A78" s="64"/>
      <c r="C78" s="138" t="s">
        <v>149</v>
      </c>
      <c r="D78" s="138" t="s">
        <v>13</v>
      </c>
      <c r="E78" s="138">
        <v>21</v>
      </c>
      <c r="F78" s="136" t="e">
        <f>'Z+D_Output_EU marinas'!F43</f>
        <v>#DIV/0!</v>
      </c>
      <c r="G78" s="136" t="e">
        <f>'Z+D_Output_EU marinas'!G43</f>
        <v>#DIV/0!</v>
      </c>
      <c r="H78" s="136" t="e">
        <f>'Z+D_Output_EU marinas'!H43</f>
        <v>#DIV/0!</v>
      </c>
      <c r="I78" s="136" t="e">
        <f>'Z+D_Output_EU marinas'!I43</f>
        <v>#DIV/0!</v>
      </c>
      <c r="O78" s="64"/>
    </row>
    <row r="79" spans="1:15" x14ac:dyDescent="0.2">
      <c r="A79" s="64"/>
      <c r="C79" s="138" t="s">
        <v>150</v>
      </c>
      <c r="D79" s="138" t="s">
        <v>13</v>
      </c>
      <c r="E79" s="138">
        <v>26</v>
      </c>
      <c r="F79" s="136" t="e">
        <f>'Z+D_Output_EU marinas'!F44</f>
        <v>#DIV/0!</v>
      </c>
      <c r="G79" s="136" t="e">
        <f>'Z+D_Output_EU marinas'!G44</f>
        <v>#DIV/0!</v>
      </c>
      <c r="H79" s="136" t="e">
        <f>'Z+D_Output_EU marinas'!H44</f>
        <v>#DIV/0!</v>
      </c>
      <c r="I79" s="136" t="e">
        <f>'Z+D_Output_EU marinas'!I44</f>
        <v>#DIV/0!</v>
      </c>
      <c r="O79" s="64"/>
    </row>
    <row r="80" spans="1:15" x14ac:dyDescent="0.2">
      <c r="A80" s="64"/>
      <c r="C80" s="138" t="s">
        <v>151</v>
      </c>
      <c r="D80" s="138" t="s">
        <v>13</v>
      </c>
      <c r="E80" s="138">
        <v>30</v>
      </c>
      <c r="F80" s="136" t="e">
        <f>'Z+D_Output_EU marinas'!F45</f>
        <v>#DIV/0!</v>
      </c>
      <c r="G80" s="136" t="e">
        <f>'Z+D_Output_EU marinas'!G45</f>
        <v>#DIV/0!</v>
      </c>
      <c r="H80" s="136" t="e">
        <f>'Z+D_Output_EU marinas'!H45</f>
        <v>#DIV/0!</v>
      </c>
      <c r="I80" s="136" t="e">
        <f>'Z+D_Output_EU marinas'!I45</f>
        <v>#DIV/0!</v>
      </c>
      <c r="O80" s="64"/>
    </row>
    <row r="81" spans="1:15" x14ac:dyDescent="0.2">
      <c r="A81" s="64"/>
      <c r="C81" s="138" t="s">
        <v>152</v>
      </c>
      <c r="D81" s="138" t="s">
        <v>13</v>
      </c>
      <c r="E81" s="138">
        <v>34</v>
      </c>
      <c r="F81" s="136" t="e">
        <f>'Z+D_Output_EU marinas'!F46</f>
        <v>#DIV/0!</v>
      </c>
      <c r="G81" s="136" t="e">
        <f>'Z+D_Output_EU marinas'!G46</f>
        <v>#DIV/0!</v>
      </c>
      <c r="H81" s="136" t="e">
        <f>'Z+D_Output_EU marinas'!H46</f>
        <v>#DIV/0!</v>
      </c>
      <c r="I81" s="136" t="e">
        <f>'Z+D_Output_EU marinas'!I46</f>
        <v>#DIV/0!</v>
      </c>
      <c r="O81" s="64"/>
    </row>
    <row r="82" spans="1:15" x14ac:dyDescent="0.2">
      <c r="A82" s="64"/>
      <c r="C82" s="138" t="s">
        <v>153</v>
      </c>
      <c r="D82" s="138" t="s">
        <v>13</v>
      </c>
      <c r="E82" s="138">
        <v>40</v>
      </c>
      <c r="F82" s="136" t="e">
        <f>'Z+D_Output_EU marinas'!F47</f>
        <v>#DIV/0!</v>
      </c>
      <c r="G82" s="136" t="e">
        <f>'Z+D_Output_EU marinas'!G47</f>
        <v>#DIV/0!</v>
      </c>
      <c r="H82" s="136" t="e">
        <f>'Z+D_Output_EU marinas'!H47</f>
        <v>#DIV/0!</v>
      </c>
      <c r="I82" s="136" t="e">
        <f>'Z+D_Output_EU marinas'!I47</f>
        <v>#DIV/0!</v>
      </c>
      <c r="O82" s="64"/>
    </row>
    <row r="83" spans="1:15" x14ac:dyDescent="0.2">
      <c r="A83" s="64"/>
      <c r="C83" s="138" t="s">
        <v>154</v>
      </c>
      <c r="D83" s="138" t="s">
        <v>13</v>
      </c>
      <c r="E83" s="138">
        <v>42</v>
      </c>
      <c r="F83" s="136" t="e">
        <f>'Z+D_Output_EU marinas'!F48</f>
        <v>#DIV/0!</v>
      </c>
      <c r="G83" s="136" t="e">
        <f>'Z+D_Output_EU marinas'!G48</f>
        <v>#DIV/0!</v>
      </c>
      <c r="H83" s="136" t="e">
        <f>'Z+D_Output_EU marinas'!H48</f>
        <v>#DIV/0!</v>
      </c>
      <c r="I83" s="136" t="e">
        <f>'Z+D_Output_EU marinas'!I48</f>
        <v>#DIV/0!</v>
      </c>
      <c r="O83" s="64"/>
    </row>
    <row r="84" spans="1:15" x14ac:dyDescent="0.2">
      <c r="A84" s="64"/>
      <c r="C84" s="138" t="s">
        <v>155</v>
      </c>
      <c r="D84" s="138" t="s">
        <v>13</v>
      </c>
      <c r="E84" s="138">
        <v>44</v>
      </c>
      <c r="F84" s="136" t="e">
        <f>'Z+D_Output_EU marinas'!F49</f>
        <v>#DIV/0!</v>
      </c>
      <c r="G84" s="136" t="e">
        <f>'Z+D_Output_EU marinas'!G49</f>
        <v>#DIV/0!</v>
      </c>
      <c r="H84" s="136" t="e">
        <f>'Z+D_Output_EU marinas'!H49</f>
        <v>#DIV/0!</v>
      </c>
      <c r="I84" s="136" t="e">
        <f>'Z+D_Output_EU marinas'!I49</f>
        <v>#DIV/0!</v>
      </c>
      <c r="O84" s="64"/>
    </row>
    <row r="85" spans="1:15" x14ac:dyDescent="0.2">
      <c r="A85" s="64"/>
      <c r="C85" s="138" t="s">
        <v>156</v>
      </c>
      <c r="D85" s="138" t="s">
        <v>13</v>
      </c>
      <c r="E85" s="138">
        <v>45</v>
      </c>
      <c r="F85" s="136" t="e">
        <f>'Z+D_Output_EU marinas'!F50</f>
        <v>#DIV/0!</v>
      </c>
      <c r="G85" s="136" t="e">
        <f>'Z+D_Output_EU marinas'!G50</f>
        <v>#DIV/0!</v>
      </c>
      <c r="H85" s="136" t="e">
        <f>'Z+D_Output_EU marinas'!H50</f>
        <v>#DIV/0!</v>
      </c>
      <c r="I85" s="136" t="e">
        <f>'Z+D_Output_EU marinas'!I50</f>
        <v>#DIV/0!</v>
      </c>
      <c r="O85" s="64"/>
    </row>
    <row r="86" spans="1:15" x14ac:dyDescent="0.2">
      <c r="A86" s="64"/>
      <c r="C86" s="138" t="s">
        <v>157</v>
      </c>
      <c r="D86" s="138" t="s">
        <v>13</v>
      </c>
      <c r="E86" s="138">
        <v>46</v>
      </c>
      <c r="F86" s="136" t="e">
        <f>'Z+D_Output_EU marinas'!F51</f>
        <v>#DIV/0!</v>
      </c>
      <c r="G86" s="136" t="e">
        <f>'Z+D_Output_EU marinas'!G51</f>
        <v>#DIV/0!</v>
      </c>
      <c r="H86" s="136" t="e">
        <f>'Z+D_Output_EU marinas'!H51</f>
        <v>#DIV/0!</v>
      </c>
      <c r="I86" s="136" t="e">
        <f>'Z+D_Output_EU marinas'!I51</f>
        <v>#DIV/0!</v>
      </c>
      <c r="O86" s="64"/>
    </row>
    <row r="87" spans="1:15" x14ac:dyDescent="0.2">
      <c r="A87" s="64"/>
      <c r="C87" s="138" t="s">
        <v>158</v>
      </c>
      <c r="D87" s="138" t="s">
        <v>13</v>
      </c>
      <c r="E87" s="138">
        <v>48</v>
      </c>
      <c r="F87" s="136" t="e">
        <f>'Z+D_Output_EU marinas'!F52</f>
        <v>#DIV/0!</v>
      </c>
      <c r="G87" s="136" t="e">
        <f>'Z+D_Output_EU marinas'!G52</f>
        <v>#DIV/0!</v>
      </c>
      <c r="H87" s="136" t="e">
        <f>'Z+D_Output_EU marinas'!H52</f>
        <v>#DIV/0!</v>
      </c>
      <c r="I87" s="136" t="e">
        <f>'Z+D_Output_EU marinas'!I52</f>
        <v>#DIV/0!</v>
      </c>
      <c r="O87" s="64"/>
    </row>
    <row r="88" spans="1:15" x14ac:dyDescent="0.2">
      <c r="A88" s="64"/>
      <c r="C88" s="138" t="s">
        <v>159</v>
      </c>
      <c r="D88" s="138" t="s">
        <v>160</v>
      </c>
      <c r="E88" s="138">
        <v>1</v>
      </c>
      <c r="F88" s="136" t="e">
        <f>'Z+D_Output_EU marinas'!F53</f>
        <v>#DIV/0!</v>
      </c>
      <c r="G88" s="136" t="e">
        <f>'Z+D_Output_EU marinas'!G53</f>
        <v>#DIV/0!</v>
      </c>
      <c r="H88" s="136" t="e">
        <f>'Z+D_Output_EU marinas'!H53</f>
        <v>#DIV/0!</v>
      </c>
      <c r="I88" s="136" t="e">
        <f>'Z+D_Output_EU marinas'!I53</f>
        <v>#DIV/0!</v>
      </c>
      <c r="O88" s="64"/>
    </row>
    <row r="89" spans="1:15" x14ac:dyDescent="0.2">
      <c r="A89" s="64"/>
      <c r="C89" s="138" t="s">
        <v>161</v>
      </c>
      <c r="D89" s="138" t="s">
        <v>160</v>
      </c>
      <c r="E89" s="138">
        <v>2</v>
      </c>
      <c r="F89" s="136" t="e">
        <f>'Z+D_Output_EU marinas'!F54</f>
        <v>#DIV/0!</v>
      </c>
      <c r="G89" s="136" t="e">
        <f>'Z+D_Output_EU marinas'!G54</f>
        <v>#DIV/0!</v>
      </c>
      <c r="H89" s="136" t="e">
        <f>'Z+D_Output_EU marinas'!H54</f>
        <v>#DIV/0!</v>
      </c>
      <c r="I89" s="136" t="e">
        <f>'Z+D_Output_EU marinas'!I54</f>
        <v>#DIV/0!</v>
      </c>
      <c r="O89" s="64"/>
    </row>
    <row r="90" spans="1:15" x14ac:dyDescent="0.2">
      <c r="A90" s="64"/>
      <c r="C90" s="138" t="s">
        <v>162</v>
      </c>
      <c r="D90" s="138" t="s">
        <v>160</v>
      </c>
      <c r="E90" s="138">
        <v>3</v>
      </c>
      <c r="F90" s="136" t="e">
        <f>'Z+D_Output_EU marinas'!F55</f>
        <v>#DIV/0!</v>
      </c>
      <c r="G90" s="136" t="e">
        <f>'Z+D_Output_EU marinas'!G55</f>
        <v>#DIV/0!</v>
      </c>
      <c r="H90" s="136" t="e">
        <f>'Z+D_Output_EU marinas'!H55</f>
        <v>#DIV/0!</v>
      </c>
      <c r="I90" s="136" t="e">
        <f>'Z+D_Output_EU marinas'!I55</f>
        <v>#DIV/0!</v>
      </c>
      <c r="O90" s="64"/>
    </row>
    <row r="91" spans="1:15" x14ac:dyDescent="0.2">
      <c r="A91" s="64"/>
      <c r="C91" s="138" t="s">
        <v>163</v>
      </c>
      <c r="D91" s="138" t="s">
        <v>160</v>
      </c>
      <c r="E91" s="138">
        <v>4</v>
      </c>
      <c r="F91" s="136" t="e">
        <f>'Z+D_Output_EU marinas'!F56</f>
        <v>#DIV/0!</v>
      </c>
      <c r="G91" s="136" t="e">
        <f>'Z+D_Output_EU marinas'!G56</f>
        <v>#DIV/0!</v>
      </c>
      <c r="H91" s="136" t="e">
        <f>'Z+D_Output_EU marinas'!H56</f>
        <v>#DIV/0!</v>
      </c>
      <c r="I91" s="136" t="e">
        <f>'Z+D_Output_EU marinas'!I56</f>
        <v>#DIV/0!</v>
      </c>
      <c r="O91" s="64"/>
    </row>
    <row r="92" spans="1:15" x14ac:dyDescent="0.2">
      <c r="A92" s="64"/>
      <c r="C92" s="138" t="s">
        <v>164</v>
      </c>
      <c r="D92" s="138" t="s">
        <v>160</v>
      </c>
      <c r="E92" s="138">
        <v>5</v>
      </c>
      <c r="F92" s="136" t="e">
        <f>'Z+D_Output_EU marinas'!F57</f>
        <v>#DIV/0!</v>
      </c>
      <c r="G92" s="136" t="e">
        <f>'Z+D_Output_EU marinas'!G57</f>
        <v>#DIV/0!</v>
      </c>
      <c r="H92" s="136" t="e">
        <f>'Z+D_Output_EU marinas'!H57</f>
        <v>#DIV/0!</v>
      </c>
      <c r="I92" s="136" t="e">
        <f>'Z+D_Output_EU marinas'!I57</f>
        <v>#DIV/0!</v>
      </c>
      <c r="O92" s="64"/>
    </row>
    <row r="93" spans="1:15" s="87" customFormat="1" x14ac:dyDescent="0.2">
      <c r="A93" s="64"/>
      <c r="B93" s="3"/>
      <c r="C93" s="171" t="s">
        <v>172</v>
      </c>
      <c r="D93" s="171"/>
      <c r="E93" s="171"/>
      <c r="F93" s="136" t="e">
        <f>'Z+D_Output_Regulatory_Marinas'!D12</f>
        <v>#DIV/0!</v>
      </c>
      <c r="G93" s="136" t="e">
        <f>'Z+D_Output_Regulatory_Marinas'!E12</f>
        <v>#DIV/0!</v>
      </c>
      <c r="H93" s="136" t="e">
        <f>'Z+D_Output_Regulatory_Marinas'!F12</f>
        <v>#DIV/0!</v>
      </c>
      <c r="I93" s="136" t="e">
        <f>'Z+D_Output_Regulatory_Marinas'!G12</f>
        <v>#DIV/0!</v>
      </c>
      <c r="K93" s="3"/>
      <c r="O93" s="64"/>
    </row>
    <row r="94" spans="1:15" s="91" customFormat="1" x14ac:dyDescent="0.2">
      <c r="A94" s="64"/>
      <c r="B94" s="3"/>
      <c r="C94" s="171" t="s">
        <v>173</v>
      </c>
      <c r="D94" s="171"/>
      <c r="E94" s="171"/>
      <c r="F94" s="136" t="e">
        <f>'Z+D_Output_Regulatory_Marinas'!D13</f>
        <v>#DIV/0!</v>
      </c>
      <c r="G94" s="136" t="e">
        <f>'Z+D_Output_Regulatory_Marinas'!E13</f>
        <v>#DIV/0!</v>
      </c>
      <c r="H94" s="136" t="e">
        <f>'Z+D_Output_Regulatory_Marinas'!F13</f>
        <v>#DIV/0!</v>
      </c>
      <c r="I94" s="136" t="e">
        <f>'Z+D_Output_Regulatory_Marinas'!G13</f>
        <v>#DIV/0!</v>
      </c>
      <c r="K94" s="3"/>
      <c r="O94" s="64"/>
    </row>
    <row r="95" spans="1:15" x14ac:dyDescent="0.2">
      <c r="A95" s="64"/>
      <c r="B95"/>
      <c r="O95" s="64"/>
    </row>
    <row r="96" spans="1:15" x14ac:dyDescent="0.2">
      <c r="A96" s="64"/>
      <c r="B96" s="64"/>
      <c r="C96" s="64"/>
      <c r="D96" s="64"/>
      <c r="E96" s="64"/>
      <c r="F96" s="64"/>
      <c r="G96" s="64"/>
      <c r="H96" s="64"/>
      <c r="I96" s="64"/>
      <c r="J96" s="64"/>
      <c r="K96" s="64"/>
      <c r="L96" s="64"/>
      <c r="M96" s="64"/>
      <c r="N96" s="64"/>
      <c r="O96" s="64"/>
    </row>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sheetData>
  <mergeCells count="16">
    <mergeCell ref="C94:E94"/>
    <mergeCell ref="C28:G28"/>
    <mergeCell ref="C9:G9"/>
    <mergeCell ref="C11:G11"/>
    <mergeCell ref="C16:G16"/>
    <mergeCell ref="C23:G23"/>
    <mergeCell ref="C20:F20"/>
    <mergeCell ref="C21:F21"/>
    <mergeCell ref="C18:F18"/>
    <mergeCell ref="C19:F19"/>
    <mergeCell ref="C35:E35"/>
    <mergeCell ref="C36:E36"/>
    <mergeCell ref="C37:E37"/>
    <mergeCell ref="C38:E38"/>
    <mergeCell ref="C93:E93"/>
    <mergeCell ref="D46:E46"/>
  </mergeCells>
  <conditionalFormatting sqref="F47:I94">
    <cfRule type="cellIs" dxfId="20" priority="2" operator="greaterThan">
      <formula>1</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85" zoomScaleNormal="85" workbookViewId="0"/>
  </sheetViews>
  <sheetFormatPr defaultColWidth="0" defaultRowHeight="12.75" zeroHeight="1" x14ac:dyDescent="0.2"/>
  <cols>
    <col min="1" max="2" width="3.125" style="3" customWidth="1"/>
    <col min="3" max="3" width="23.75" style="91" customWidth="1"/>
    <col min="4" max="4" width="3.625" style="91" customWidth="1"/>
    <col min="5" max="5" width="4.625" style="91" customWidth="1"/>
    <col min="6" max="10" width="16.625" style="91" customWidth="1"/>
    <col min="11" max="11" width="16.625" style="3" customWidth="1"/>
    <col min="12" max="13" width="16.625" style="91" customWidth="1"/>
    <col min="14" max="14" width="3.125" style="91" customWidth="1"/>
    <col min="15" max="15" width="3" style="91" customWidth="1"/>
    <col min="16" max="16" width="12.75" style="91" hidden="1" customWidth="1"/>
    <col min="17" max="17" width="12.25" style="91" hidden="1" customWidth="1"/>
    <col min="18" max="18" width="12.5" style="91" hidden="1" customWidth="1"/>
    <col min="19" max="19" width="12.25" style="91" hidden="1" customWidth="1"/>
    <col min="20" max="26" width="0" style="91" hidden="1" customWidth="1"/>
    <col min="27" max="16384" width="9" style="91"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5" t="str">
        <f>Tooltype</f>
        <v>Freshwater calculator tool</v>
      </c>
      <c r="L4" s="3"/>
      <c r="O4" s="64"/>
    </row>
    <row r="5" spans="1:15" x14ac:dyDescent="0.2">
      <c r="A5" s="64"/>
      <c r="L5" s="3"/>
      <c r="O5" s="64"/>
    </row>
    <row r="6" spans="1:15" x14ac:dyDescent="0.2">
      <c r="A6" s="64"/>
      <c r="C6" s="59" t="s">
        <v>79</v>
      </c>
      <c r="D6" s="91" t="str">
        <f>Z_Compound_Name</f>
        <v>Zineb</v>
      </c>
      <c r="L6" s="3"/>
      <c r="O6" s="64"/>
    </row>
    <row r="7" spans="1:15" x14ac:dyDescent="0.2">
      <c r="A7" s="64"/>
      <c r="C7" s="59" t="s">
        <v>80</v>
      </c>
      <c r="D7" s="91" t="str">
        <f>Version</f>
        <v>Version Final 1.1</v>
      </c>
      <c r="L7" s="3"/>
      <c r="O7" s="64"/>
    </row>
    <row r="8" spans="1:15" x14ac:dyDescent="0.2">
      <c r="A8" s="64"/>
      <c r="L8" s="3"/>
      <c r="O8" s="64"/>
    </row>
    <row r="9" spans="1:15" x14ac:dyDescent="0.2">
      <c r="A9" s="64"/>
      <c r="C9" s="173" t="s">
        <v>16</v>
      </c>
      <c r="D9" s="173"/>
      <c r="E9" s="173"/>
      <c r="F9" s="173"/>
      <c r="G9" s="173"/>
      <c r="L9" s="3"/>
      <c r="O9" s="64"/>
    </row>
    <row r="10" spans="1:15" x14ac:dyDescent="0.2">
      <c r="A10" s="64"/>
      <c r="C10" s="60"/>
      <c r="L10" s="3"/>
      <c r="O10" s="64"/>
    </row>
    <row r="11" spans="1:15" x14ac:dyDescent="0.2">
      <c r="A11" s="64"/>
      <c r="C11" s="172" t="s">
        <v>90</v>
      </c>
      <c r="D11" s="172"/>
      <c r="E11" s="172"/>
      <c r="F11" s="172"/>
      <c r="G11" s="172"/>
      <c r="L11" s="3"/>
      <c r="O11" s="64"/>
    </row>
    <row r="12" spans="1:15" x14ac:dyDescent="0.2">
      <c r="A12" s="64"/>
      <c r="C12" s="91" t="s">
        <v>67</v>
      </c>
      <c r="F12" s="91">
        <f>Application_Factor</f>
        <v>0.9</v>
      </c>
      <c r="L12" s="3"/>
      <c r="O12" s="64"/>
    </row>
    <row r="13" spans="1:15" x14ac:dyDescent="0.2">
      <c r="A13" s="64"/>
      <c r="C13" s="91" t="s">
        <v>89</v>
      </c>
      <c r="F13" s="152" t="e">
        <f>IF(ISBLANK(Z_Average_biocide_release_over_the_lifetime_of_the_paint_M),Z_User_Input!I30,Z_Average_biocide_release_over_the_lifetime_of_the_paint_M)</f>
        <v>#DIV/0!</v>
      </c>
      <c r="L13" s="3"/>
      <c r="O13" s="64"/>
    </row>
    <row r="14" spans="1:15" x14ac:dyDescent="0.2">
      <c r="A14" s="64"/>
      <c r="L14" s="3"/>
      <c r="O14" s="64"/>
    </row>
    <row r="15" spans="1:15" x14ac:dyDescent="0.2">
      <c r="A15" s="64"/>
      <c r="C15" s="172" t="s">
        <v>58</v>
      </c>
      <c r="D15" s="172"/>
      <c r="E15" s="172"/>
      <c r="F15" s="172"/>
      <c r="G15" s="172"/>
      <c r="L15" s="3"/>
      <c r="O15" s="64"/>
    </row>
    <row r="16" spans="1:15" x14ac:dyDescent="0.2">
      <c r="A16" s="64"/>
      <c r="C16" s="174" t="s">
        <v>181</v>
      </c>
      <c r="D16" s="174"/>
      <c r="E16" s="174"/>
      <c r="F16" s="174"/>
      <c r="G16" s="153">
        <f>Z_PNEC_Aquatic_Inside</f>
        <v>0.219</v>
      </c>
      <c r="L16" s="3"/>
      <c r="O16" s="64"/>
    </row>
    <row r="17" spans="1:23" x14ac:dyDescent="0.2">
      <c r="A17" s="64"/>
      <c r="C17" s="174" t="s">
        <v>180</v>
      </c>
      <c r="D17" s="174"/>
      <c r="E17" s="174"/>
      <c r="F17" s="174"/>
      <c r="G17" s="153">
        <f>Z_PNEC_Sediment_Inside</f>
        <v>4.5499999999999999E-2</v>
      </c>
      <c r="L17" s="3"/>
      <c r="O17" s="64"/>
    </row>
    <row r="18" spans="1:23" x14ac:dyDescent="0.2">
      <c r="A18" s="64"/>
      <c r="C18" s="174" t="s">
        <v>179</v>
      </c>
      <c r="D18" s="174"/>
      <c r="E18" s="174"/>
      <c r="F18" s="174"/>
      <c r="G18" s="153">
        <f>Z_PNEC_Aquatic_Surrounding</f>
        <v>0.219</v>
      </c>
      <c r="L18" s="3"/>
      <c r="O18" s="64"/>
    </row>
    <row r="19" spans="1:23" x14ac:dyDescent="0.2">
      <c r="A19" s="64"/>
      <c r="C19" s="174" t="s">
        <v>178</v>
      </c>
      <c r="D19" s="174"/>
      <c r="E19" s="174"/>
      <c r="F19" s="174"/>
      <c r="G19" s="153">
        <f>Z_PNEC_Sediment_Surrounding</f>
        <v>4.5499999999999999E-2</v>
      </c>
      <c r="L19" s="3"/>
      <c r="O19" s="64"/>
    </row>
    <row r="20" spans="1:23" x14ac:dyDescent="0.2">
      <c r="A20" s="64"/>
      <c r="L20" s="3"/>
      <c r="O20" s="64"/>
    </row>
    <row r="21" spans="1:23" x14ac:dyDescent="0.2">
      <c r="A21" s="64"/>
      <c r="C21" s="172" t="s">
        <v>56</v>
      </c>
      <c r="D21" s="172"/>
      <c r="E21" s="172"/>
      <c r="F21" s="172"/>
      <c r="G21" s="172"/>
      <c r="L21" s="3"/>
      <c r="O21" s="64"/>
    </row>
    <row r="22" spans="1:23" ht="25.5" x14ac:dyDescent="0.2">
      <c r="A22" s="64"/>
      <c r="F22" s="133" t="s">
        <v>174</v>
      </c>
      <c r="G22" s="133" t="s">
        <v>175</v>
      </c>
      <c r="L22" s="3"/>
      <c r="O22" s="64"/>
    </row>
    <row r="23" spans="1:23" x14ac:dyDescent="0.2">
      <c r="A23" s="64"/>
      <c r="C23" s="91" t="s">
        <v>185</v>
      </c>
      <c r="F23" s="134">
        <f>Z_Background_SW_Freshwater</f>
        <v>0</v>
      </c>
      <c r="G23" s="134">
        <f>Z_Background_Sed_Freshwater</f>
        <v>0</v>
      </c>
      <c r="L23" s="3"/>
      <c r="O23" s="64"/>
    </row>
    <row r="24" spans="1:23" x14ac:dyDescent="0.2">
      <c r="A24" s="64"/>
      <c r="L24" s="3"/>
      <c r="O24" s="78"/>
      <c r="P24" s="70"/>
      <c r="Q24" s="70"/>
    </row>
    <row r="25" spans="1:23" x14ac:dyDescent="0.2">
      <c r="A25" s="64"/>
      <c r="L25" s="3"/>
      <c r="O25" s="78"/>
      <c r="P25" s="70"/>
      <c r="Q25" s="70"/>
    </row>
    <row r="26" spans="1:23" x14ac:dyDescent="0.2">
      <c r="A26" s="64"/>
      <c r="C26" s="60" t="s">
        <v>86</v>
      </c>
      <c r="L26" s="3"/>
      <c r="O26" s="78"/>
      <c r="P26" s="70"/>
      <c r="Q26" s="70"/>
    </row>
    <row r="27" spans="1:23" x14ac:dyDescent="0.2">
      <c r="A27" s="64"/>
      <c r="O27" s="78"/>
      <c r="P27" s="70"/>
      <c r="Q27" s="70"/>
    </row>
    <row r="28" spans="1:23" ht="80.099999999999994" customHeight="1" x14ac:dyDescent="0.2">
      <c r="A28" s="64"/>
      <c r="C28" s="175" t="s">
        <v>185</v>
      </c>
      <c r="D28" s="176"/>
      <c r="E28" s="177"/>
      <c r="F28" s="135" t="s">
        <v>218</v>
      </c>
      <c r="G28" s="135" t="s">
        <v>219</v>
      </c>
      <c r="H28" s="135" t="s">
        <v>220</v>
      </c>
      <c r="I28" s="135" t="s">
        <v>221</v>
      </c>
      <c r="J28" s="135" t="s">
        <v>60</v>
      </c>
      <c r="K28" s="135" t="s">
        <v>213</v>
      </c>
      <c r="L28" s="135" t="s">
        <v>214</v>
      </c>
      <c r="M28" s="135" t="s">
        <v>215</v>
      </c>
      <c r="N28" s="72"/>
      <c r="O28" s="79"/>
      <c r="P28" s="72"/>
      <c r="Q28" s="70"/>
      <c r="S28" s="70"/>
      <c r="T28" s="62"/>
      <c r="U28" s="62"/>
      <c r="V28" s="62"/>
      <c r="W28" s="62"/>
    </row>
    <row r="29" spans="1:23" x14ac:dyDescent="0.2">
      <c r="A29" s="64"/>
      <c r="C29" s="175" t="s">
        <v>85</v>
      </c>
      <c r="D29" s="176"/>
      <c r="E29" s="177"/>
      <c r="F29" s="136" t="e">
        <f>'Z_Output_EU marinas'!F58</f>
        <v>#DIV/0!</v>
      </c>
      <c r="G29" s="136" t="e">
        <f>'Z_Output_EU marinas'!G58</f>
        <v>#DIV/0!</v>
      </c>
      <c r="H29" s="136" t="e">
        <f>'Z_Output_EU marinas'!H58</f>
        <v>#DIV/0!</v>
      </c>
      <c r="I29" s="136" t="e">
        <f>'Z_Output_EU marinas'!I58</f>
        <v>#DIV/0!</v>
      </c>
      <c r="J29" s="136" t="e">
        <f>'Z_Output_EU marinas'!J58</f>
        <v>#DIV/0!</v>
      </c>
      <c r="K29" s="136" t="e">
        <f>'Z_Output_EU marinas'!K58</f>
        <v>#DIV/0!</v>
      </c>
      <c r="L29" s="136" t="e">
        <f>'Z_Output_EU marinas'!L58</f>
        <v>#DIV/0!</v>
      </c>
      <c r="M29" s="136" t="e">
        <f>'Z_Output_EU marinas'!M58</f>
        <v>#DIV/0!</v>
      </c>
      <c r="N29" s="70"/>
      <c r="O29" s="78"/>
      <c r="P29" s="70"/>
      <c r="Q29" s="70"/>
      <c r="R29" s="70"/>
      <c r="S29" s="70"/>
    </row>
    <row r="30" spans="1:23" ht="12.75" customHeight="1" x14ac:dyDescent="0.2">
      <c r="A30" s="64"/>
      <c r="C30" s="175" t="s">
        <v>14</v>
      </c>
      <c r="D30" s="176"/>
      <c r="E30" s="177"/>
      <c r="F30" s="136" t="e">
        <f>'Z_Output_EU marinas'!F59</f>
        <v>#DIV/0!</v>
      </c>
      <c r="G30" s="136" t="e">
        <f>'Z_Output_EU marinas'!G59</f>
        <v>#DIV/0!</v>
      </c>
      <c r="H30" s="136" t="e">
        <f>'Z_Output_EU marinas'!H59</f>
        <v>#DIV/0!</v>
      </c>
      <c r="I30" s="136" t="e">
        <f>'Z_Output_EU marinas'!I59</f>
        <v>#DIV/0!</v>
      </c>
      <c r="J30" s="136" t="e">
        <f>'Z_Output_EU marinas'!J59</f>
        <v>#DIV/0!</v>
      </c>
      <c r="K30" s="136" t="e">
        <f>'Z_Output_EU marinas'!K59</f>
        <v>#DIV/0!</v>
      </c>
      <c r="L30" s="136" t="e">
        <f>'Z_Output_EU marinas'!L59</f>
        <v>#DIV/0!</v>
      </c>
      <c r="M30" s="136" t="e">
        <f>'Z_Output_EU marinas'!M59</f>
        <v>#DIV/0!</v>
      </c>
      <c r="O30" s="64"/>
    </row>
    <row r="31" spans="1:23" x14ac:dyDescent="0.2">
      <c r="A31" s="64"/>
      <c r="C31" s="175" t="s">
        <v>15</v>
      </c>
      <c r="D31" s="176"/>
      <c r="E31" s="177"/>
      <c r="F31" s="136" t="e">
        <f>'Z_Output_EU marinas'!F60</f>
        <v>#DIV/0!</v>
      </c>
      <c r="G31" s="136" t="e">
        <f>'Z_Output_EU marinas'!G60</f>
        <v>#DIV/0!</v>
      </c>
      <c r="H31" s="136" t="e">
        <f>'Z_Output_EU marinas'!H60</f>
        <v>#DIV/0!</v>
      </c>
      <c r="I31" s="136" t="e">
        <f>'Z_Output_EU marinas'!I60</f>
        <v>#DIV/0!</v>
      </c>
      <c r="J31" s="136" t="e">
        <f>'Z_Output_EU marinas'!J60</f>
        <v>#DIV/0!</v>
      </c>
      <c r="K31" s="136" t="e">
        <f>'Z_Output_EU marinas'!K60</f>
        <v>#DIV/0!</v>
      </c>
      <c r="L31" s="136" t="e">
        <f>'Z_Output_EU marinas'!L60</f>
        <v>#DIV/0!</v>
      </c>
      <c r="M31" s="136" t="e">
        <f>'Z_Output_EU marinas'!M60</f>
        <v>#DIV/0!</v>
      </c>
      <c r="O31" s="64"/>
    </row>
    <row r="32" spans="1:23" x14ac:dyDescent="0.2">
      <c r="A32" s="64"/>
      <c r="C32" s="70"/>
      <c r="D32" s="70"/>
      <c r="E32" s="70"/>
      <c r="F32" s="70"/>
      <c r="G32" s="70"/>
      <c r="H32" s="70"/>
      <c r="I32" s="70"/>
      <c r="O32" s="64"/>
    </row>
    <row r="33" spans="1:26" x14ac:dyDescent="0.2">
      <c r="A33" s="64"/>
      <c r="B33" s="64"/>
      <c r="C33" s="65"/>
      <c r="D33" s="64"/>
      <c r="E33" s="64"/>
      <c r="F33" s="64"/>
      <c r="G33" s="64"/>
      <c r="H33" s="64"/>
      <c r="I33" s="64"/>
      <c r="J33" s="64"/>
      <c r="K33" s="64"/>
      <c r="L33" s="64"/>
      <c r="M33" s="64"/>
      <c r="N33" s="64"/>
      <c r="O33" s="64"/>
      <c r="Q33" s="71"/>
      <c r="R33" s="71"/>
      <c r="S33" s="70"/>
      <c r="T33" s="70"/>
      <c r="U33" s="70"/>
      <c r="V33" s="70"/>
      <c r="W33" s="70"/>
      <c r="X33" s="70"/>
      <c r="Y33" s="15"/>
      <c r="Z33" s="3"/>
    </row>
    <row r="34" spans="1:26" x14ac:dyDescent="0.2">
      <c r="A34" s="64"/>
      <c r="C34" s="60" t="s">
        <v>87</v>
      </c>
      <c r="O34" s="64"/>
    </row>
    <row r="35" spans="1:26" x14ac:dyDescent="0.2">
      <c r="A35" s="64"/>
      <c r="B35" s="91"/>
      <c r="O35" s="64"/>
    </row>
    <row r="36" spans="1:26" x14ac:dyDescent="0.2">
      <c r="A36" s="64"/>
      <c r="C36" s="80" t="s">
        <v>81</v>
      </c>
      <c r="D36" s="113"/>
      <c r="E36" s="113"/>
      <c r="F36" s="113"/>
      <c r="G36" s="113"/>
      <c r="H36" s="113"/>
      <c r="O36" s="64"/>
    </row>
    <row r="37" spans="1:26" ht="105.95" customHeight="1" x14ac:dyDescent="0.2">
      <c r="A37" s="64"/>
      <c r="B37" s="91"/>
      <c r="C37" s="61" t="s">
        <v>9</v>
      </c>
      <c r="D37" s="178" t="s">
        <v>10</v>
      </c>
      <c r="E37" s="179"/>
      <c r="F37" s="135" t="s">
        <v>218</v>
      </c>
      <c r="G37" s="135" t="s">
        <v>219</v>
      </c>
      <c r="H37" s="135" t="s">
        <v>220</v>
      </c>
      <c r="I37" s="135" t="s">
        <v>221</v>
      </c>
      <c r="O37" s="64"/>
    </row>
    <row r="38" spans="1:26" x14ac:dyDescent="0.2">
      <c r="A38" s="64"/>
      <c r="C38" s="138" t="s">
        <v>106</v>
      </c>
      <c r="D38" s="138" t="s">
        <v>107</v>
      </c>
      <c r="E38" s="138">
        <v>1</v>
      </c>
      <c r="F38" s="136" t="e">
        <f>'Z_EU Marinas_Scenario_Calc'!K21</f>
        <v>#DIV/0!</v>
      </c>
      <c r="G38" s="136" t="e">
        <f>'Z_EU Marinas_Scenario_Calc'!L21</f>
        <v>#DIV/0!</v>
      </c>
      <c r="H38" s="136" t="e">
        <f>'Z_EU Marinas_Scenario_Calc'!M21</f>
        <v>#DIV/0!</v>
      </c>
      <c r="I38" s="136" t="e">
        <f>'Z_EU Marinas_Scenario_Calc'!N21</f>
        <v>#DIV/0!</v>
      </c>
      <c r="O38" s="64"/>
    </row>
    <row r="39" spans="1:26" x14ac:dyDescent="0.2">
      <c r="A39" s="64"/>
      <c r="C39" s="138" t="s">
        <v>108</v>
      </c>
      <c r="D39" s="138" t="s">
        <v>107</v>
      </c>
      <c r="E39" s="138">
        <v>2</v>
      </c>
      <c r="F39" s="136" t="e">
        <f>'Z_EU Marinas_Scenario_Calc'!K22</f>
        <v>#DIV/0!</v>
      </c>
      <c r="G39" s="136" t="e">
        <f>'Z_EU Marinas_Scenario_Calc'!L22</f>
        <v>#DIV/0!</v>
      </c>
      <c r="H39" s="136" t="e">
        <f>'Z_EU Marinas_Scenario_Calc'!M22</f>
        <v>#DIV/0!</v>
      </c>
      <c r="I39" s="136" t="e">
        <f>'Z_EU Marinas_Scenario_Calc'!N22</f>
        <v>#DIV/0!</v>
      </c>
      <c r="O39" s="64"/>
    </row>
    <row r="40" spans="1:26" x14ac:dyDescent="0.2">
      <c r="A40" s="64"/>
      <c r="C40" s="138" t="s">
        <v>109</v>
      </c>
      <c r="D40" s="138" t="s">
        <v>107</v>
      </c>
      <c r="E40" s="138">
        <v>3</v>
      </c>
      <c r="F40" s="136" t="e">
        <f>'Z_EU Marinas_Scenario_Calc'!K23</f>
        <v>#DIV/0!</v>
      </c>
      <c r="G40" s="136" t="e">
        <f>'Z_EU Marinas_Scenario_Calc'!L23</f>
        <v>#DIV/0!</v>
      </c>
      <c r="H40" s="136" t="e">
        <f>'Z_EU Marinas_Scenario_Calc'!M23</f>
        <v>#DIV/0!</v>
      </c>
      <c r="I40" s="136" t="e">
        <f>'Z_EU Marinas_Scenario_Calc'!N23</f>
        <v>#DIV/0!</v>
      </c>
      <c r="O40" s="64"/>
    </row>
    <row r="41" spans="1:26" x14ac:dyDescent="0.2">
      <c r="A41" s="64"/>
      <c r="C41" s="138" t="s">
        <v>110</v>
      </c>
      <c r="D41" s="138" t="s">
        <v>107</v>
      </c>
      <c r="E41" s="138">
        <v>4</v>
      </c>
      <c r="F41" s="136" t="e">
        <f>'Z_EU Marinas_Scenario_Calc'!K24</f>
        <v>#DIV/0!</v>
      </c>
      <c r="G41" s="136" t="e">
        <f>'Z_EU Marinas_Scenario_Calc'!L24</f>
        <v>#DIV/0!</v>
      </c>
      <c r="H41" s="136" t="e">
        <f>'Z_EU Marinas_Scenario_Calc'!M24</f>
        <v>#DIV/0!</v>
      </c>
      <c r="I41" s="136" t="e">
        <f>'Z_EU Marinas_Scenario_Calc'!N24</f>
        <v>#DIV/0!</v>
      </c>
      <c r="O41" s="64"/>
    </row>
    <row r="42" spans="1:26" x14ac:dyDescent="0.2">
      <c r="A42" s="64"/>
      <c r="C42" s="138" t="s">
        <v>111</v>
      </c>
      <c r="D42" s="138" t="s">
        <v>107</v>
      </c>
      <c r="E42" s="138">
        <v>5</v>
      </c>
      <c r="F42" s="136" t="e">
        <f>'Z_EU Marinas_Scenario_Calc'!K25</f>
        <v>#DIV/0!</v>
      </c>
      <c r="G42" s="136" t="e">
        <f>'Z_EU Marinas_Scenario_Calc'!L25</f>
        <v>#DIV/0!</v>
      </c>
      <c r="H42" s="136" t="e">
        <f>'Z_EU Marinas_Scenario_Calc'!M25</f>
        <v>#DIV/0!</v>
      </c>
      <c r="I42" s="136" t="e">
        <f>'Z_EU Marinas_Scenario_Calc'!N25</f>
        <v>#DIV/0!</v>
      </c>
      <c r="O42" s="64"/>
    </row>
    <row r="43" spans="1:26" x14ac:dyDescent="0.2">
      <c r="A43" s="64"/>
      <c r="C43" s="138" t="s">
        <v>112</v>
      </c>
      <c r="D43" s="138" t="s">
        <v>107</v>
      </c>
      <c r="E43" s="138">
        <v>6</v>
      </c>
      <c r="F43" s="136" t="e">
        <f>'Z_EU Marinas_Scenario_Calc'!K26</f>
        <v>#DIV/0!</v>
      </c>
      <c r="G43" s="136" t="e">
        <f>'Z_EU Marinas_Scenario_Calc'!L26</f>
        <v>#DIV/0!</v>
      </c>
      <c r="H43" s="136" t="e">
        <f>'Z_EU Marinas_Scenario_Calc'!M26</f>
        <v>#DIV/0!</v>
      </c>
      <c r="I43" s="136" t="e">
        <f>'Z_EU Marinas_Scenario_Calc'!N26</f>
        <v>#DIV/0!</v>
      </c>
      <c r="O43" s="64"/>
    </row>
    <row r="44" spans="1:26" x14ac:dyDescent="0.2">
      <c r="A44" s="64"/>
      <c r="C44" s="138" t="s">
        <v>113</v>
      </c>
      <c r="D44" s="138" t="s">
        <v>107</v>
      </c>
      <c r="E44" s="138">
        <v>7</v>
      </c>
      <c r="F44" s="136" t="e">
        <f>'Z_EU Marinas_Scenario_Calc'!K27</f>
        <v>#DIV/0!</v>
      </c>
      <c r="G44" s="136" t="e">
        <f>'Z_EU Marinas_Scenario_Calc'!L27</f>
        <v>#DIV/0!</v>
      </c>
      <c r="H44" s="136" t="e">
        <f>'Z_EU Marinas_Scenario_Calc'!M27</f>
        <v>#DIV/0!</v>
      </c>
      <c r="I44" s="136" t="e">
        <f>'Z_EU Marinas_Scenario_Calc'!N27</f>
        <v>#DIV/0!</v>
      </c>
      <c r="O44" s="64"/>
    </row>
    <row r="45" spans="1:26" x14ac:dyDescent="0.2">
      <c r="A45" s="64"/>
      <c r="C45" s="138" t="s">
        <v>114</v>
      </c>
      <c r="D45" s="138" t="s">
        <v>115</v>
      </c>
      <c r="E45" s="138">
        <v>2</v>
      </c>
      <c r="F45" s="136" t="e">
        <f>'Z_EU Marinas_Scenario_Calc'!K28</f>
        <v>#DIV/0!</v>
      </c>
      <c r="G45" s="136" t="e">
        <f>'Z_EU Marinas_Scenario_Calc'!L28</f>
        <v>#DIV/0!</v>
      </c>
      <c r="H45" s="136" t="e">
        <f>'Z_EU Marinas_Scenario_Calc'!M28</f>
        <v>#DIV/0!</v>
      </c>
      <c r="I45" s="136" t="e">
        <f>'Z_EU Marinas_Scenario_Calc'!N28</f>
        <v>#DIV/0!</v>
      </c>
      <c r="O45" s="64"/>
    </row>
    <row r="46" spans="1:26" x14ac:dyDescent="0.2">
      <c r="A46" s="64"/>
      <c r="C46" s="138" t="s">
        <v>116</v>
      </c>
      <c r="D46" s="138" t="s">
        <v>115</v>
      </c>
      <c r="E46" s="138">
        <v>3</v>
      </c>
      <c r="F46" s="136" t="e">
        <f>'Z_EU Marinas_Scenario_Calc'!K29</f>
        <v>#DIV/0!</v>
      </c>
      <c r="G46" s="136" t="e">
        <f>'Z_EU Marinas_Scenario_Calc'!L29</f>
        <v>#DIV/0!</v>
      </c>
      <c r="H46" s="136" t="e">
        <f>'Z_EU Marinas_Scenario_Calc'!M29</f>
        <v>#DIV/0!</v>
      </c>
      <c r="I46" s="136" t="e">
        <f>'Z_EU Marinas_Scenario_Calc'!N29</f>
        <v>#DIV/0!</v>
      </c>
      <c r="O46" s="64"/>
    </row>
    <row r="47" spans="1:26" x14ac:dyDescent="0.2">
      <c r="A47" s="64"/>
      <c r="C47" s="138" t="s">
        <v>117</v>
      </c>
      <c r="D47" s="138" t="s">
        <v>115</v>
      </c>
      <c r="E47" s="138">
        <v>5</v>
      </c>
      <c r="F47" s="136" t="e">
        <f>'Z_EU Marinas_Scenario_Calc'!K30</f>
        <v>#DIV/0!</v>
      </c>
      <c r="G47" s="136" t="e">
        <f>'Z_EU Marinas_Scenario_Calc'!L30</f>
        <v>#DIV/0!</v>
      </c>
      <c r="H47" s="136" t="e">
        <f>'Z_EU Marinas_Scenario_Calc'!M30</f>
        <v>#DIV/0!</v>
      </c>
      <c r="I47" s="136" t="e">
        <f>'Z_EU Marinas_Scenario_Calc'!N30</f>
        <v>#DIV/0!</v>
      </c>
      <c r="O47" s="64"/>
    </row>
    <row r="48" spans="1:26" x14ac:dyDescent="0.2">
      <c r="A48" s="64"/>
      <c r="C48" s="138" t="s">
        <v>118</v>
      </c>
      <c r="D48" s="138" t="s">
        <v>115</v>
      </c>
      <c r="E48" s="138">
        <v>6</v>
      </c>
      <c r="F48" s="136" t="e">
        <f>'Z_EU Marinas_Scenario_Calc'!K31</f>
        <v>#DIV/0!</v>
      </c>
      <c r="G48" s="136" t="e">
        <f>'Z_EU Marinas_Scenario_Calc'!L31</f>
        <v>#DIV/0!</v>
      </c>
      <c r="H48" s="136" t="e">
        <f>'Z_EU Marinas_Scenario_Calc'!M31</f>
        <v>#DIV/0!</v>
      </c>
      <c r="I48" s="136" t="e">
        <f>'Z_EU Marinas_Scenario_Calc'!N31</f>
        <v>#DIV/0!</v>
      </c>
      <c r="O48" s="64"/>
    </row>
    <row r="49" spans="1:15" x14ac:dyDescent="0.2">
      <c r="A49" s="64"/>
      <c r="C49" s="138" t="s">
        <v>119</v>
      </c>
      <c r="D49" s="138" t="s">
        <v>115</v>
      </c>
      <c r="E49" s="138">
        <v>11</v>
      </c>
      <c r="F49" s="136" t="e">
        <f>'Z_EU Marinas_Scenario_Calc'!K32</f>
        <v>#DIV/0!</v>
      </c>
      <c r="G49" s="136" t="e">
        <f>'Z_EU Marinas_Scenario_Calc'!L32</f>
        <v>#DIV/0!</v>
      </c>
      <c r="H49" s="136" t="e">
        <f>'Z_EU Marinas_Scenario_Calc'!M32</f>
        <v>#DIV/0!</v>
      </c>
      <c r="I49" s="136" t="e">
        <f>'Z_EU Marinas_Scenario_Calc'!N32</f>
        <v>#DIV/0!</v>
      </c>
      <c r="O49" s="64"/>
    </row>
    <row r="50" spans="1:15" x14ac:dyDescent="0.2">
      <c r="A50" s="64"/>
      <c r="C50" s="138" t="s">
        <v>120</v>
      </c>
      <c r="D50" s="138" t="s">
        <v>115</v>
      </c>
      <c r="E50" s="138">
        <v>12</v>
      </c>
      <c r="F50" s="136" t="e">
        <f>'Z_EU Marinas_Scenario_Calc'!K33</f>
        <v>#DIV/0!</v>
      </c>
      <c r="G50" s="136" t="e">
        <f>'Z_EU Marinas_Scenario_Calc'!L33</f>
        <v>#DIV/0!</v>
      </c>
      <c r="H50" s="136" t="e">
        <f>'Z_EU Marinas_Scenario_Calc'!M33</f>
        <v>#DIV/0!</v>
      </c>
      <c r="I50" s="136" t="e">
        <f>'Z_EU Marinas_Scenario_Calc'!N33</f>
        <v>#DIV/0!</v>
      </c>
      <c r="O50" s="64"/>
    </row>
    <row r="51" spans="1:15" x14ac:dyDescent="0.2">
      <c r="A51" s="64"/>
      <c r="C51" s="138" t="s">
        <v>121</v>
      </c>
      <c r="D51" s="138" t="s">
        <v>12</v>
      </c>
      <c r="E51" s="138" t="s">
        <v>122</v>
      </c>
      <c r="F51" s="136" t="e">
        <f>'Z_EU Marinas_Scenario_Calc'!K34</f>
        <v>#DIV/0!</v>
      </c>
      <c r="G51" s="136" t="e">
        <f>'Z_EU Marinas_Scenario_Calc'!L34</f>
        <v>#DIV/0!</v>
      </c>
      <c r="H51" s="136" t="e">
        <f>'Z_EU Marinas_Scenario_Calc'!M34</f>
        <v>#DIV/0!</v>
      </c>
      <c r="I51" s="136" t="e">
        <f>'Z_EU Marinas_Scenario_Calc'!N34</f>
        <v>#DIV/0!</v>
      </c>
      <c r="O51" s="64"/>
    </row>
    <row r="52" spans="1:15" x14ac:dyDescent="0.2">
      <c r="A52" s="64"/>
      <c r="C52" s="138" t="s">
        <v>123</v>
      </c>
      <c r="D52" s="138" t="s">
        <v>12</v>
      </c>
      <c r="E52" s="138" t="s">
        <v>124</v>
      </c>
      <c r="F52" s="136" t="e">
        <f>'Z_EU Marinas_Scenario_Calc'!K35</f>
        <v>#DIV/0!</v>
      </c>
      <c r="G52" s="136" t="e">
        <f>'Z_EU Marinas_Scenario_Calc'!L35</f>
        <v>#DIV/0!</v>
      </c>
      <c r="H52" s="136" t="e">
        <f>'Z_EU Marinas_Scenario_Calc'!M35</f>
        <v>#DIV/0!</v>
      </c>
      <c r="I52" s="136" t="e">
        <f>'Z_EU Marinas_Scenario_Calc'!N35</f>
        <v>#DIV/0!</v>
      </c>
      <c r="O52" s="64"/>
    </row>
    <row r="53" spans="1:15" x14ac:dyDescent="0.2">
      <c r="A53" s="64"/>
      <c r="C53" s="138" t="s">
        <v>125</v>
      </c>
      <c r="D53" s="138" t="s">
        <v>12</v>
      </c>
      <c r="E53" s="138" t="s">
        <v>126</v>
      </c>
      <c r="F53" s="136" t="e">
        <f>'Z_EU Marinas_Scenario_Calc'!K36</f>
        <v>#DIV/0!</v>
      </c>
      <c r="G53" s="136" t="e">
        <f>'Z_EU Marinas_Scenario_Calc'!L36</f>
        <v>#DIV/0!</v>
      </c>
      <c r="H53" s="136" t="e">
        <f>'Z_EU Marinas_Scenario_Calc'!M36</f>
        <v>#DIV/0!</v>
      </c>
      <c r="I53" s="136" t="e">
        <f>'Z_EU Marinas_Scenario_Calc'!N36</f>
        <v>#DIV/0!</v>
      </c>
      <c r="O53" s="64"/>
    </row>
    <row r="54" spans="1:15" x14ac:dyDescent="0.2">
      <c r="A54" s="64"/>
      <c r="C54" s="138" t="s">
        <v>127</v>
      </c>
      <c r="D54" s="138" t="s">
        <v>12</v>
      </c>
      <c r="E54" s="138" t="s">
        <v>128</v>
      </c>
      <c r="F54" s="136" t="e">
        <f>'Z_EU Marinas_Scenario_Calc'!K37</f>
        <v>#DIV/0!</v>
      </c>
      <c r="G54" s="136" t="e">
        <f>'Z_EU Marinas_Scenario_Calc'!L37</f>
        <v>#DIV/0!</v>
      </c>
      <c r="H54" s="136" t="e">
        <f>'Z_EU Marinas_Scenario_Calc'!M37</f>
        <v>#DIV/0!</v>
      </c>
      <c r="I54" s="136" t="e">
        <f>'Z_EU Marinas_Scenario_Calc'!N37</f>
        <v>#DIV/0!</v>
      </c>
      <c r="O54" s="64"/>
    </row>
    <row r="55" spans="1:15" x14ac:dyDescent="0.2">
      <c r="A55" s="64"/>
      <c r="C55" s="138" t="s">
        <v>129</v>
      </c>
      <c r="D55" s="138" t="s">
        <v>12</v>
      </c>
      <c r="E55" s="138" t="s">
        <v>130</v>
      </c>
      <c r="F55" s="136" t="e">
        <f>'Z_EU Marinas_Scenario_Calc'!K38</f>
        <v>#DIV/0!</v>
      </c>
      <c r="G55" s="136" t="e">
        <f>'Z_EU Marinas_Scenario_Calc'!L38</f>
        <v>#DIV/0!</v>
      </c>
      <c r="H55" s="136" t="e">
        <f>'Z_EU Marinas_Scenario_Calc'!M38</f>
        <v>#DIV/0!</v>
      </c>
      <c r="I55" s="136" t="e">
        <f>'Z_EU Marinas_Scenario_Calc'!N38</f>
        <v>#DIV/0!</v>
      </c>
      <c r="O55" s="64"/>
    </row>
    <row r="56" spans="1:15" x14ac:dyDescent="0.2">
      <c r="A56" s="64"/>
      <c r="C56" s="138" t="s">
        <v>131</v>
      </c>
      <c r="D56" s="138" t="s">
        <v>12</v>
      </c>
      <c r="E56" s="138" t="s">
        <v>132</v>
      </c>
      <c r="F56" s="136" t="e">
        <f>'Z_EU Marinas_Scenario_Calc'!K39</f>
        <v>#DIV/0!</v>
      </c>
      <c r="G56" s="136" t="e">
        <f>'Z_EU Marinas_Scenario_Calc'!L39</f>
        <v>#DIV/0!</v>
      </c>
      <c r="H56" s="136" t="e">
        <f>'Z_EU Marinas_Scenario_Calc'!M39</f>
        <v>#DIV/0!</v>
      </c>
      <c r="I56" s="136" t="e">
        <f>'Z_EU Marinas_Scenario_Calc'!N39</f>
        <v>#DIV/0!</v>
      </c>
      <c r="O56" s="64"/>
    </row>
    <row r="57" spans="1:15" x14ac:dyDescent="0.2">
      <c r="A57" s="64"/>
      <c r="C57" s="138" t="s">
        <v>133</v>
      </c>
      <c r="D57" s="138" t="s">
        <v>12</v>
      </c>
      <c r="E57" s="138" t="s">
        <v>134</v>
      </c>
      <c r="F57" s="136" t="e">
        <f>'Z_EU Marinas_Scenario_Calc'!K40</f>
        <v>#DIV/0!</v>
      </c>
      <c r="G57" s="136" t="e">
        <f>'Z_EU Marinas_Scenario_Calc'!L40</f>
        <v>#DIV/0!</v>
      </c>
      <c r="H57" s="136" t="e">
        <f>'Z_EU Marinas_Scenario_Calc'!M40</f>
        <v>#DIV/0!</v>
      </c>
      <c r="I57" s="136" t="e">
        <f>'Z_EU Marinas_Scenario_Calc'!N40</f>
        <v>#DIV/0!</v>
      </c>
      <c r="O57" s="64"/>
    </row>
    <row r="58" spans="1:15" x14ac:dyDescent="0.2">
      <c r="A58" s="64"/>
      <c r="C58" s="138" t="s">
        <v>135</v>
      </c>
      <c r="D58" s="138" t="s">
        <v>12</v>
      </c>
      <c r="E58" s="138" t="s">
        <v>136</v>
      </c>
      <c r="F58" s="136" t="e">
        <f>'Z_EU Marinas_Scenario_Calc'!K41</f>
        <v>#DIV/0!</v>
      </c>
      <c r="G58" s="136" t="e">
        <f>'Z_EU Marinas_Scenario_Calc'!L41</f>
        <v>#DIV/0!</v>
      </c>
      <c r="H58" s="136" t="e">
        <f>'Z_EU Marinas_Scenario_Calc'!M41</f>
        <v>#DIV/0!</v>
      </c>
      <c r="I58" s="136" t="e">
        <f>'Z_EU Marinas_Scenario_Calc'!N41</f>
        <v>#DIV/0!</v>
      </c>
      <c r="O58" s="64"/>
    </row>
    <row r="59" spans="1:15" x14ac:dyDescent="0.2">
      <c r="A59" s="64"/>
      <c r="C59" s="138" t="s">
        <v>137</v>
      </c>
      <c r="D59" s="138" t="s">
        <v>12</v>
      </c>
      <c r="E59" s="138" t="s">
        <v>138</v>
      </c>
      <c r="F59" s="136" t="e">
        <f>'Z_EU Marinas_Scenario_Calc'!K42</f>
        <v>#DIV/0!</v>
      </c>
      <c r="G59" s="136" t="e">
        <f>'Z_EU Marinas_Scenario_Calc'!L42</f>
        <v>#DIV/0!</v>
      </c>
      <c r="H59" s="136" t="e">
        <f>'Z_EU Marinas_Scenario_Calc'!M42</f>
        <v>#DIV/0!</v>
      </c>
      <c r="I59" s="136" t="e">
        <f>'Z_EU Marinas_Scenario_Calc'!N42</f>
        <v>#DIV/0!</v>
      </c>
      <c r="O59" s="64"/>
    </row>
    <row r="60" spans="1:15" x14ac:dyDescent="0.2">
      <c r="A60" s="64"/>
      <c r="C60" s="138" t="s">
        <v>139</v>
      </c>
      <c r="D60" s="138" t="s">
        <v>12</v>
      </c>
      <c r="E60" s="138" t="s">
        <v>140</v>
      </c>
      <c r="F60" s="136" t="e">
        <f>'Z_EU Marinas_Scenario_Calc'!K43</f>
        <v>#DIV/0!</v>
      </c>
      <c r="G60" s="136" t="e">
        <f>'Z_EU Marinas_Scenario_Calc'!L43</f>
        <v>#DIV/0!</v>
      </c>
      <c r="H60" s="136" t="e">
        <f>'Z_EU Marinas_Scenario_Calc'!M43</f>
        <v>#DIV/0!</v>
      </c>
      <c r="I60" s="136" t="e">
        <f>'Z_EU Marinas_Scenario_Calc'!N43</f>
        <v>#DIV/0!</v>
      </c>
      <c r="O60" s="64"/>
    </row>
    <row r="61" spans="1:15" x14ac:dyDescent="0.2">
      <c r="A61" s="64"/>
      <c r="C61" s="138" t="s">
        <v>141</v>
      </c>
      <c r="D61" s="138" t="s">
        <v>13</v>
      </c>
      <c r="E61" s="138">
        <v>1</v>
      </c>
      <c r="F61" s="136" t="e">
        <f>'Z_EU Marinas_Scenario_Calc'!K44</f>
        <v>#DIV/0!</v>
      </c>
      <c r="G61" s="136" t="e">
        <f>'Z_EU Marinas_Scenario_Calc'!L44</f>
        <v>#DIV/0!</v>
      </c>
      <c r="H61" s="136" t="e">
        <f>'Z_EU Marinas_Scenario_Calc'!M44</f>
        <v>#DIV/0!</v>
      </c>
      <c r="I61" s="136" t="e">
        <f>'Z_EU Marinas_Scenario_Calc'!N44</f>
        <v>#DIV/0!</v>
      </c>
      <c r="O61" s="64"/>
    </row>
    <row r="62" spans="1:15" x14ac:dyDescent="0.2">
      <c r="A62" s="64"/>
      <c r="C62" s="138" t="s">
        <v>142</v>
      </c>
      <c r="D62" s="138" t="s">
        <v>13</v>
      </c>
      <c r="E62" s="138">
        <v>3</v>
      </c>
      <c r="F62" s="136" t="e">
        <f>'Z_EU Marinas_Scenario_Calc'!K45</f>
        <v>#DIV/0!</v>
      </c>
      <c r="G62" s="136" t="e">
        <f>'Z_EU Marinas_Scenario_Calc'!L45</f>
        <v>#DIV/0!</v>
      </c>
      <c r="H62" s="136" t="e">
        <f>'Z_EU Marinas_Scenario_Calc'!M45</f>
        <v>#DIV/0!</v>
      </c>
      <c r="I62" s="136" t="e">
        <f>'Z_EU Marinas_Scenario_Calc'!N45</f>
        <v>#DIV/0!</v>
      </c>
      <c r="O62" s="64"/>
    </row>
    <row r="63" spans="1:15" x14ac:dyDescent="0.2">
      <c r="A63" s="64"/>
      <c r="C63" s="138" t="s">
        <v>143</v>
      </c>
      <c r="D63" s="138" t="s">
        <v>13</v>
      </c>
      <c r="E63" s="138">
        <v>4</v>
      </c>
      <c r="F63" s="136" t="e">
        <f>'Z_EU Marinas_Scenario_Calc'!K46</f>
        <v>#DIV/0!</v>
      </c>
      <c r="G63" s="136" t="e">
        <f>'Z_EU Marinas_Scenario_Calc'!L46</f>
        <v>#DIV/0!</v>
      </c>
      <c r="H63" s="136" t="e">
        <f>'Z_EU Marinas_Scenario_Calc'!M46</f>
        <v>#DIV/0!</v>
      </c>
      <c r="I63" s="136" t="e">
        <f>'Z_EU Marinas_Scenario_Calc'!N46</f>
        <v>#DIV/0!</v>
      </c>
      <c r="O63" s="64"/>
    </row>
    <row r="64" spans="1:15" x14ac:dyDescent="0.2">
      <c r="A64" s="64"/>
      <c r="C64" s="138" t="s">
        <v>144</v>
      </c>
      <c r="D64" s="138" t="s">
        <v>13</v>
      </c>
      <c r="E64" s="138">
        <v>6</v>
      </c>
      <c r="F64" s="136" t="e">
        <f>'Z_EU Marinas_Scenario_Calc'!K47</f>
        <v>#DIV/0!</v>
      </c>
      <c r="G64" s="136" t="e">
        <f>'Z_EU Marinas_Scenario_Calc'!L47</f>
        <v>#DIV/0!</v>
      </c>
      <c r="H64" s="136" t="e">
        <f>'Z_EU Marinas_Scenario_Calc'!M47</f>
        <v>#DIV/0!</v>
      </c>
      <c r="I64" s="136" t="e">
        <f>'Z_EU Marinas_Scenario_Calc'!N47</f>
        <v>#DIV/0!</v>
      </c>
      <c r="O64" s="64"/>
    </row>
    <row r="65" spans="1:15" x14ac:dyDescent="0.2">
      <c r="A65" s="64"/>
      <c r="C65" s="138" t="s">
        <v>145</v>
      </c>
      <c r="D65" s="138" t="s">
        <v>13</v>
      </c>
      <c r="E65" s="138">
        <v>7</v>
      </c>
      <c r="F65" s="136" t="e">
        <f>'Z_EU Marinas_Scenario_Calc'!K48</f>
        <v>#DIV/0!</v>
      </c>
      <c r="G65" s="136" t="e">
        <f>'Z_EU Marinas_Scenario_Calc'!L48</f>
        <v>#DIV/0!</v>
      </c>
      <c r="H65" s="136" t="e">
        <f>'Z_EU Marinas_Scenario_Calc'!M48</f>
        <v>#DIV/0!</v>
      </c>
      <c r="I65" s="136" t="e">
        <f>'Z_EU Marinas_Scenario_Calc'!N48</f>
        <v>#DIV/0!</v>
      </c>
      <c r="O65" s="64"/>
    </row>
    <row r="66" spans="1:15" x14ac:dyDescent="0.2">
      <c r="A66" s="64"/>
      <c r="C66" s="138" t="s">
        <v>146</v>
      </c>
      <c r="D66" s="138" t="s">
        <v>13</v>
      </c>
      <c r="E66" s="138">
        <v>8</v>
      </c>
      <c r="F66" s="136" t="e">
        <f>'Z_EU Marinas_Scenario_Calc'!K49</f>
        <v>#DIV/0!</v>
      </c>
      <c r="G66" s="136" t="e">
        <f>'Z_EU Marinas_Scenario_Calc'!L49</f>
        <v>#DIV/0!</v>
      </c>
      <c r="H66" s="136" t="e">
        <f>'Z_EU Marinas_Scenario_Calc'!M49</f>
        <v>#DIV/0!</v>
      </c>
      <c r="I66" s="136" t="e">
        <f>'Z_EU Marinas_Scenario_Calc'!N49</f>
        <v>#DIV/0!</v>
      </c>
      <c r="O66" s="64"/>
    </row>
    <row r="67" spans="1:15" x14ac:dyDescent="0.2">
      <c r="A67" s="64"/>
      <c r="C67" s="138" t="s">
        <v>147</v>
      </c>
      <c r="D67" s="138" t="s">
        <v>13</v>
      </c>
      <c r="E67" s="138">
        <v>14</v>
      </c>
      <c r="F67" s="136" t="e">
        <f>'Z_EU Marinas_Scenario_Calc'!K50</f>
        <v>#DIV/0!</v>
      </c>
      <c r="G67" s="136" t="e">
        <f>'Z_EU Marinas_Scenario_Calc'!L50</f>
        <v>#DIV/0!</v>
      </c>
      <c r="H67" s="136" t="e">
        <f>'Z_EU Marinas_Scenario_Calc'!M50</f>
        <v>#DIV/0!</v>
      </c>
      <c r="I67" s="136" t="e">
        <f>'Z_EU Marinas_Scenario_Calc'!N50</f>
        <v>#DIV/0!</v>
      </c>
      <c r="O67" s="64"/>
    </row>
    <row r="68" spans="1:15" x14ac:dyDescent="0.2">
      <c r="A68" s="64"/>
      <c r="C68" s="138" t="s">
        <v>148</v>
      </c>
      <c r="D68" s="138" t="s">
        <v>13</v>
      </c>
      <c r="E68" s="138">
        <v>17</v>
      </c>
      <c r="F68" s="136" t="e">
        <f>'Z_EU Marinas_Scenario_Calc'!K51</f>
        <v>#DIV/0!</v>
      </c>
      <c r="G68" s="136" t="e">
        <f>'Z_EU Marinas_Scenario_Calc'!L51</f>
        <v>#DIV/0!</v>
      </c>
      <c r="H68" s="136" t="e">
        <f>'Z_EU Marinas_Scenario_Calc'!M51</f>
        <v>#DIV/0!</v>
      </c>
      <c r="I68" s="136" t="e">
        <f>'Z_EU Marinas_Scenario_Calc'!N51</f>
        <v>#DIV/0!</v>
      </c>
      <c r="O68" s="64"/>
    </row>
    <row r="69" spans="1:15" x14ac:dyDescent="0.2">
      <c r="A69" s="64"/>
      <c r="C69" s="138" t="s">
        <v>149</v>
      </c>
      <c r="D69" s="138" t="s">
        <v>13</v>
      </c>
      <c r="E69" s="138">
        <v>21</v>
      </c>
      <c r="F69" s="136" t="e">
        <f>'Z_EU Marinas_Scenario_Calc'!K52</f>
        <v>#DIV/0!</v>
      </c>
      <c r="G69" s="136" t="e">
        <f>'Z_EU Marinas_Scenario_Calc'!L52</f>
        <v>#DIV/0!</v>
      </c>
      <c r="H69" s="136" t="e">
        <f>'Z_EU Marinas_Scenario_Calc'!M52</f>
        <v>#DIV/0!</v>
      </c>
      <c r="I69" s="136" t="e">
        <f>'Z_EU Marinas_Scenario_Calc'!N52</f>
        <v>#DIV/0!</v>
      </c>
      <c r="O69" s="64"/>
    </row>
    <row r="70" spans="1:15" x14ac:dyDescent="0.2">
      <c r="A70" s="64"/>
      <c r="C70" s="138" t="s">
        <v>150</v>
      </c>
      <c r="D70" s="138" t="s">
        <v>13</v>
      </c>
      <c r="E70" s="138">
        <v>26</v>
      </c>
      <c r="F70" s="136" t="e">
        <f>'Z_EU Marinas_Scenario_Calc'!K53</f>
        <v>#DIV/0!</v>
      </c>
      <c r="G70" s="136" t="e">
        <f>'Z_EU Marinas_Scenario_Calc'!L53</f>
        <v>#DIV/0!</v>
      </c>
      <c r="H70" s="136" t="e">
        <f>'Z_EU Marinas_Scenario_Calc'!M53</f>
        <v>#DIV/0!</v>
      </c>
      <c r="I70" s="136" t="e">
        <f>'Z_EU Marinas_Scenario_Calc'!N53</f>
        <v>#DIV/0!</v>
      </c>
      <c r="O70" s="64"/>
    </row>
    <row r="71" spans="1:15" x14ac:dyDescent="0.2">
      <c r="A71" s="64"/>
      <c r="C71" s="138" t="s">
        <v>151</v>
      </c>
      <c r="D71" s="138" t="s">
        <v>13</v>
      </c>
      <c r="E71" s="138">
        <v>30</v>
      </c>
      <c r="F71" s="136" t="e">
        <f>'Z_EU Marinas_Scenario_Calc'!K54</f>
        <v>#DIV/0!</v>
      </c>
      <c r="G71" s="136" t="e">
        <f>'Z_EU Marinas_Scenario_Calc'!L54</f>
        <v>#DIV/0!</v>
      </c>
      <c r="H71" s="136" t="e">
        <f>'Z_EU Marinas_Scenario_Calc'!M54</f>
        <v>#DIV/0!</v>
      </c>
      <c r="I71" s="136" t="e">
        <f>'Z_EU Marinas_Scenario_Calc'!N54</f>
        <v>#DIV/0!</v>
      </c>
      <c r="O71" s="64"/>
    </row>
    <row r="72" spans="1:15" x14ac:dyDescent="0.2">
      <c r="A72" s="64"/>
      <c r="C72" s="138" t="s">
        <v>152</v>
      </c>
      <c r="D72" s="138" t="s">
        <v>13</v>
      </c>
      <c r="E72" s="138">
        <v>34</v>
      </c>
      <c r="F72" s="136" t="e">
        <f>'Z_EU Marinas_Scenario_Calc'!K55</f>
        <v>#DIV/0!</v>
      </c>
      <c r="G72" s="136" t="e">
        <f>'Z_EU Marinas_Scenario_Calc'!L55</f>
        <v>#DIV/0!</v>
      </c>
      <c r="H72" s="136" t="e">
        <f>'Z_EU Marinas_Scenario_Calc'!M55</f>
        <v>#DIV/0!</v>
      </c>
      <c r="I72" s="136" t="e">
        <f>'Z_EU Marinas_Scenario_Calc'!N55</f>
        <v>#DIV/0!</v>
      </c>
      <c r="O72" s="64"/>
    </row>
    <row r="73" spans="1:15" x14ac:dyDescent="0.2">
      <c r="A73" s="64"/>
      <c r="C73" s="138" t="s">
        <v>153</v>
      </c>
      <c r="D73" s="138" t="s">
        <v>13</v>
      </c>
      <c r="E73" s="138">
        <v>40</v>
      </c>
      <c r="F73" s="136" t="e">
        <f>'Z_EU Marinas_Scenario_Calc'!K56</f>
        <v>#DIV/0!</v>
      </c>
      <c r="G73" s="136" t="e">
        <f>'Z_EU Marinas_Scenario_Calc'!L56</f>
        <v>#DIV/0!</v>
      </c>
      <c r="H73" s="136" t="e">
        <f>'Z_EU Marinas_Scenario_Calc'!M56</f>
        <v>#DIV/0!</v>
      </c>
      <c r="I73" s="136" t="e">
        <f>'Z_EU Marinas_Scenario_Calc'!N56</f>
        <v>#DIV/0!</v>
      </c>
      <c r="O73" s="64"/>
    </row>
    <row r="74" spans="1:15" x14ac:dyDescent="0.2">
      <c r="A74" s="64"/>
      <c r="C74" s="138" t="s">
        <v>154</v>
      </c>
      <c r="D74" s="138" t="s">
        <v>13</v>
      </c>
      <c r="E74" s="138">
        <v>42</v>
      </c>
      <c r="F74" s="136" t="e">
        <f>'Z_EU Marinas_Scenario_Calc'!K57</f>
        <v>#DIV/0!</v>
      </c>
      <c r="G74" s="136" t="e">
        <f>'Z_EU Marinas_Scenario_Calc'!L57</f>
        <v>#DIV/0!</v>
      </c>
      <c r="H74" s="136" t="e">
        <f>'Z_EU Marinas_Scenario_Calc'!M57</f>
        <v>#DIV/0!</v>
      </c>
      <c r="I74" s="136" t="e">
        <f>'Z_EU Marinas_Scenario_Calc'!N57</f>
        <v>#DIV/0!</v>
      </c>
      <c r="O74" s="64"/>
    </row>
    <row r="75" spans="1:15" x14ac:dyDescent="0.2">
      <c r="A75" s="64"/>
      <c r="C75" s="138" t="s">
        <v>155</v>
      </c>
      <c r="D75" s="138" t="s">
        <v>13</v>
      </c>
      <c r="E75" s="138">
        <v>44</v>
      </c>
      <c r="F75" s="136" t="e">
        <f>'Z_EU Marinas_Scenario_Calc'!K58</f>
        <v>#DIV/0!</v>
      </c>
      <c r="G75" s="136" t="e">
        <f>'Z_EU Marinas_Scenario_Calc'!L58</f>
        <v>#DIV/0!</v>
      </c>
      <c r="H75" s="136" t="e">
        <f>'Z_EU Marinas_Scenario_Calc'!M58</f>
        <v>#DIV/0!</v>
      </c>
      <c r="I75" s="136" t="e">
        <f>'Z_EU Marinas_Scenario_Calc'!N58</f>
        <v>#DIV/0!</v>
      </c>
      <c r="O75" s="64"/>
    </row>
    <row r="76" spans="1:15" x14ac:dyDescent="0.2">
      <c r="A76" s="64"/>
      <c r="C76" s="138" t="s">
        <v>156</v>
      </c>
      <c r="D76" s="138" t="s">
        <v>13</v>
      </c>
      <c r="E76" s="138">
        <v>45</v>
      </c>
      <c r="F76" s="136" t="e">
        <f>'Z_EU Marinas_Scenario_Calc'!K59</f>
        <v>#DIV/0!</v>
      </c>
      <c r="G76" s="136" t="e">
        <f>'Z_EU Marinas_Scenario_Calc'!L59</f>
        <v>#DIV/0!</v>
      </c>
      <c r="H76" s="136" t="e">
        <f>'Z_EU Marinas_Scenario_Calc'!M59</f>
        <v>#DIV/0!</v>
      </c>
      <c r="I76" s="136" t="e">
        <f>'Z_EU Marinas_Scenario_Calc'!N59</f>
        <v>#DIV/0!</v>
      </c>
      <c r="O76" s="64"/>
    </row>
    <row r="77" spans="1:15" x14ac:dyDescent="0.2">
      <c r="A77" s="64"/>
      <c r="C77" s="138" t="s">
        <v>157</v>
      </c>
      <c r="D77" s="138" t="s">
        <v>13</v>
      </c>
      <c r="E77" s="138">
        <v>46</v>
      </c>
      <c r="F77" s="136" t="e">
        <f>'Z_EU Marinas_Scenario_Calc'!K60</f>
        <v>#DIV/0!</v>
      </c>
      <c r="G77" s="136" t="e">
        <f>'Z_EU Marinas_Scenario_Calc'!L60</f>
        <v>#DIV/0!</v>
      </c>
      <c r="H77" s="136" t="e">
        <f>'Z_EU Marinas_Scenario_Calc'!M60</f>
        <v>#DIV/0!</v>
      </c>
      <c r="I77" s="136" t="e">
        <f>'Z_EU Marinas_Scenario_Calc'!N60</f>
        <v>#DIV/0!</v>
      </c>
      <c r="O77" s="64"/>
    </row>
    <row r="78" spans="1:15" x14ac:dyDescent="0.2">
      <c r="A78" s="64"/>
      <c r="C78" s="138" t="s">
        <v>158</v>
      </c>
      <c r="D78" s="138" t="s">
        <v>13</v>
      </c>
      <c r="E78" s="138">
        <v>48</v>
      </c>
      <c r="F78" s="136" t="e">
        <f>'Z_EU Marinas_Scenario_Calc'!K61</f>
        <v>#DIV/0!</v>
      </c>
      <c r="G78" s="136" t="e">
        <f>'Z_EU Marinas_Scenario_Calc'!L61</f>
        <v>#DIV/0!</v>
      </c>
      <c r="H78" s="136" t="e">
        <f>'Z_EU Marinas_Scenario_Calc'!M61</f>
        <v>#DIV/0!</v>
      </c>
      <c r="I78" s="136" t="e">
        <f>'Z_EU Marinas_Scenario_Calc'!N61</f>
        <v>#DIV/0!</v>
      </c>
      <c r="O78" s="64"/>
    </row>
    <row r="79" spans="1:15" x14ac:dyDescent="0.2">
      <c r="A79" s="64"/>
      <c r="C79" s="138" t="s">
        <v>159</v>
      </c>
      <c r="D79" s="138" t="s">
        <v>160</v>
      </c>
      <c r="E79" s="138">
        <v>1</v>
      </c>
      <c r="F79" s="136" t="e">
        <f>'Z_EU Marinas_Scenario_Calc'!K62</f>
        <v>#DIV/0!</v>
      </c>
      <c r="G79" s="136" t="e">
        <f>'Z_EU Marinas_Scenario_Calc'!L62</f>
        <v>#DIV/0!</v>
      </c>
      <c r="H79" s="136" t="e">
        <f>'Z_EU Marinas_Scenario_Calc'!M62</f>
        <v>#DIV/0!</v>
      </c>
      <c r="I79" s="136" t="e">
        <f>'Z_EU Marinas_Scenario_Calc'!N62</f>
        <v>#DIV/0!</v>
      </c>
      <c r="O79" s="64"/>
    </row>
    <row r="80" spans="1:15" x14ac:dyDescent="0.2">
      <c r="A80" s="64"/>
      <c r="C80" s="138" t="s">
        <v>161</v>
      </c>
      <c r="D80" s="138" t="s">
        <v>160</v>
      </c>
      <c r="E80" s="138">
        <v>2</v>
      </c>
      <c r="F80" s="136" t="e">
        <f>'Z_EU Marinas_Scenario_Calc'!K63</f>
        <v>#DIV/0!</v>
      </c>
      <c r="G80" s="136" t="e">
        <f>'Z_EU Marinas_Scenario_Calc'!L63</f>
        <v>#DIV/0!</v>
      </c>
      <c r="H80" s="136" t="e">
        <f>'Z_EU Marinas_Scenario_Calc'!M63</f>
        <v>#DIV/0!</v>
      </c>
      <c r="I80" s="136" t="e">
        <f>'Z_EU Marinas_Scenario_Calc'!N63</f>
        <v>#DIV/0!</v>
      </c>
      <c r="O80" s="64"/>
    </row>
    <row r="81" spans="1:15" x14ac:dyDescent="0.2">
      <c r="A81" s="64"/>
      <c r="C81" s="138" t="s">
        <v>162</v>
      </c>
      <c r="D81" s="138" t="s">
        <v>160</v>
      </c>
      <c r="E81" s="138">
        <v>3</v>
      </c>
      <c r="F81" s="136" t="e">
        <f>'Z_EU Marinas_Scenario_Calc'!K64</f>
        <v>#DIV/0!</v>
      </c>
      <c r="G81" s="136" t="e">
        <f>'Z_EU Marinas_Scenario_Calc'!L64</f>
        <v>#DIV/0!</v>
      </c>
      <c r="H81" s="136" t="e">
        <f>'Z_EU Marinas_Scenario_Calc'!M64</f>
        <v>#DIV/0!</v>
      </c>
      <c r="I81" s="136" t="e">
        <f>'Z_EU Marinas_Scenario_Calc'!N64</f>
        <v>#DIV/0!</v>
      </c>
      <c r="O81" s="64"/>
    </row>
    <row r="82" spans="1:15" x14ac:dyDescent="0.2">
      <c r="A82" s="64"/>
      <c r="C82" s="138" t="s">
        <v>163</v>
      </c>
      <c r="D82" s="138" t="s">
        <v>160</v>
      </c>
      <c r="E82" s="138">
        <v>4</v>
      </c>
      <c r="F82" s="136" t="e">
        <f>'Z_EU Marinas_Scenario_Calc'!K65</f>
        <v>#DIV/0!</v>
      </c>
      <c r="G82" s="136" t="e">
        <f>'Z_EU Marinas_Scenario_Calc'!L65</f>
        <v>#DIV/0!</v>
      </c>
      <c r="H82" s="136" t="e">
        <f>'Z_EU Marinas_Scenario_Calc'!M65</f>
        <v>#DIV/0!</v>
      </c>
      <c r="I82" s="136" t="e">
        <f>'Z_EU Marinas_Scenario_Calc'!N65</f>
        <v>#DIV/0!</v>
      </c>
      <c r="O82" s="64"/>
    </row>
    <row r="83" spans="1:15" x14ac:dyDescent="0.2">
      <c r="A83" s="64"/>
      <c r="C83" s="138" t="s">
        <v>164</v>
      </c>
      <c r="D83" s="138" t="s">
        <v>160</v>
      </c>
      <c r="E83" s="138">
        <v>5</v>
      </c>
      <c r="F83" s="136" t="e">
        <f>'Z_EU Marinas_Scenario_Calc'!K66</f>
        <v>#DIV/0!</v>
      </c>
      <c r="G83" s="136" t="e">
        <f>'Z_EU Marinas_Scenario_Calc'!L66</f>
        <v>#DIV/0!</v>
      </c>
      <c r="H83" s="136" t="e">
        <f>'Z_EU Marinas_Scenario_Calc'!M66</f>
        <v>#DIV/0!</v>
      </c>
      <c r="I83" s="136" t="e">
        <f>'Z_EU Marinas_Scenario_Calc'!N66</f>
        <v>#DIV/0!</v>
      </c>
      <c r="O83" s="64"/>
    </row>
    <row r="84" spans="1:15" x14ac:dyDescent="0.2">
      <c r="A84" s="64"/>
      <c r="C84" s="181" t="s">
        <v>172</v>
      </c>
      <c r="D84" s="182"/>
      <c r="E84" s="183"/>
      <c r="F84" s="136" t="e">
        <f>'Z_Regulatory_ Marinas_Calc'!I21</f>
        <v>#DIV/0!</v>
      </c>
      <c r="G84" s="136" t="e">
        <f>'Z_Regulatory_ Marinas_Calc'!J21</f>
        <v>#DIV/0!</v>
      </c>
      <c r="H84" s="136" t="e">
        <f>'Z_Regulatory_ Marinas_Calc'!K21</f>
        <v>#DIV/0!</v>
      </c>
      <c r="I84" s="136" t="e">
        <f>'Z_Regulatory_ Marinas_Calc'!L21</f>
        <v>#DIV/0!</v>
      </c>
      <c r="O84" s="64"/>
    </row>
    <row r="85" spans="1:15" x14ac:dyDescent="0.2">
      <c r="A85" s="64"/>
      <c r="C85" s="184" t="s">
        <v>173</v>
      </c>
      <c r="D85" s="185"/>
      <c r="E85" s="186"/>
      <c r="F85" s="136" t="e">
        <f>'Z_Regulatory_ Marinas_Calc'!I22</f>
        <v>#DIV/0!</v>
      </c>
      <c r="G85" s="136" t="e">
        <f>'Z_Regulatory_ Marinas_Calc'!J22</f>
        <v>#DIV/0!</v>
      </c>
      <c r="H85" s="136" t="e">
        <f>'Z_Regulatory_ Marinas_Calc'!K22</f>
        <v>#DIV/0!</v>
      </c>
      <c r="I85" s="136" t="e">
        <f>'Z_Regulatory_ Marinas_Calc'!L22</f>
        <v>#DIV/0!</v>
      </c>
      <c r="O85" s="64"/>
    </row>
    <row r="86" spans="1:15" x14ac:dyDescent="0.2">
      <c r="A86" s="64"/>
      <c r="C86" s="106"/>
      <c r="D86" s="106"/>
      <c r="E86" s="106"/>
      <c r="F86" s="107"/>
      <c r="G86" s="107"/>
      <c r="H86" s="107"/>
      <c r="I86" s="107"/>
      <c r="O86" s="64"/>
    </row>
    <row r="87" spans="1:15" x14ac:dyDescent="0.2">
      <c r="A87" s="64"/>
      <c r="B87" s="91"/>
      <c r="C87" s="59" t="s">
        <v>82</v>
      </c>
      <c r="O87" s="64"/>
    </row>
    <row r="88" spans="1:15" x14ac:dyDescent="0.2">
      <c r="A88" s="64"/>
      <c r="C88" s="91" t="s">
        <v>91</v>
      </c>
      <c r="O88" s="64"/>
    </row>
    <row r="89" spans="1:15" ht="120" customHeight="1" x14ac:dyDescent="0.2">
      <c r="A89" s="64"/>
      <c r="C89" s="61" t="s">
        <v>9</v>
      </c>
      <c r="D89" s="178" t="s">
        <v>10</v>
      </c>
      <c r="E89" s="179"/>
      <c r="F89" s="135" t="s">
        <v>60</v>
      </c>
      <c r="G89" s="135" t="s">
        <v>61</v>
      </c>
      <c r="H89" s="135" t="s">
        <v>62</v>
      </c>
      <c r="I89" s="135" t="s">
        <v>63</v>
      </c>
      <c r="O89" s="64"/>
    </row>
    <row r="90" spans="1:15" x14ac:dyDescent="0.2">
      <c r="A90" s="64"/>
      <c r="C90" s="61" t="s">
        <v>106</v>
      </c>
      <c r="D90" s="61" t="s">
        <v>107</v>
      </c>
      <c r="E90" s="61">
        <v>1</v>
      </c>
      <c r="F90" s="136" t="e">
        <f>'Z_EU Marinas_Scenario_Calc'!S21</f>
        <v>#DIV/0!</v>
      </c>
      <c r="G90" s="136" t="e">
        <f>'Z_EU Marinas_Scenario_Calc'!T21</f>
        <v>#DIV/0!</v>
      </c>
      <c r="H90" s="136" t="e">
        <f>'Z_EU Marinas_Scenario_Calc'!U21</f>
        <v>#DIV/0!</v>
      </c>
      <c r="I90" s="136" t="e">
        <f>'Z_EU Marinas_Scenario_Calc'!V21</f>
        <v>#DIV/0!</v>
      </c>
      <c r="O90" s="64"/>
    </row>
    <row r="91" spans="1:15" x14ac:dyDescent="0.2">
      <c r="A91" s="64"/>
      <c r="C91" s="61" t="s">
        <v>108</v>
      </c>
      <c r="D91" s="61" t="s">
        <v>107</v>
      </c>
      <c r="E91" s="61">
        <v>2</v>
      </c>
      <c r="F91" s="136" t="e">
        <f>'Z_EU Marinas_Scenario_Calc'!S22</f>
        <v>#DIV/0!</v>
      </c>
      <c r="G91" s="136" t="e">
        <f>'Z_EU Marinas_Scenario_Calc'!T22</f>
        <v>#DIV/0!</v>
      </c>
      <c r="H91" s="136" t="e">
        <f>'Z_EU Marinas_Scenario_Calc'!U22</f>
        <v>#DIV/0!</v>
      </c>
      <c r="I91" s="136" t="e">
        <f>'Z_EU Marinas_Scenario_Calc'!V22</f>
        <v>#DIV/0!</v>
      </c>
      <c r="O91" s="64"/>
    </row>
    <row r="92" spans="1:15" x14ac:dyDescent="0.2">
      <c r="A92" s="64"/>
      <c r="C92" s="61" t="s">
        <v>109</v>
      </c>
      <c r="D92" s="61" t="s">
        <v>107</v>
      </c>
      <c r="E92" s="61">
        <v>3</v>
      </c>
      <c r="F92" s="136" t="e">
        <f>'Z_EU Marinas_Scenario_Calc'!S23</f>
        <v>#DIV/0!</v>
      </c>
      <c r="G92" s="136" t="e">
        <f>'Z_EU Marinas_Scenario_Calc'!T23</f>
        <v>#DIV/0!</v>
      </c>
      <c r="H92" s="136" t="e">
        <f>'Z_EU Marinas_Scenario_Calc'!U23</f>
        <v>#DIV/0!</v>
      </c>
      <c r="I92" s="136" t="e">
        <f>'Z_EU Marinas_Scenario_Calc'!V23</f>
        <v>#DIV/0!</v>
      </c>
      <c r="O92" s="64"/>
    </row>
    <row r="93" spans="1:15" x14ac:dyDescent="0.2">
      <c r="A93" s="64"/>
      <c r="C93" s="61" t="s">
        <v>110</v>
      </c>
      <c r="D93" s="61" t="s">
        <v>107</v>
      </c>
      <c r="E93" s="61">
        <v>4</v>
      </c>
      <c r="F93" s="136" t="e">
        <f>'Z_EU Marinas_Scenario_Calc'!S24</f>
        <v>#DIV/0!</v>
      </c>
      <c r="G93" s="136" t="e">
        <f>'Z_EU Marinas_Scenario_Calc'!T24</f>
        <v>#DIV/0!</v>
      </c>
      <c r="H93" s="136" t="e">
        <f>'Z_EU Marinas_Scenario_Calc'!U24</f>
        <v>#DIV/0!</v>
      </c>
      <c r="I93" s="136" t="e">
        <f>'Z_EU Marinas_Scenario_Calc'!V24</f>
        <v>#DIV/0!</v>
      </c>
      <c r="O93" s="64"/>
    </row>
    <row r="94" spans="1:15" x14ac:dyDescent="0.2">
      <c r="A94" s="64"/>
      <c r="C94" s="61" t="s">
        <v>111</v>
      </c>
      <c r="D94" s="61" t="s">
        <v>107</v>
      </c>
      <c r="E94" s="61">
        <v>5</v>
      </c>
      <c r="F94" s="136" t="e">
        <f>'Z_EU Marinas_Scenario_Calc'!S25</f>
        <v>#DIV/0!</v>
      </c>
      <c r="G94" s="136" t="e">
        <f>'Z_EU Marinas_Scenario_Calc'!T25</f>
        <v>#DIV/0!</v>
      </c>
      <c r="H94" s="136" t="e">
        <f>'Z_EU Marinas_Scenario_Calc'!U25</f>
        <v>#DIV/0!</v>
      </c>
      <c r="I94" s="136" t="e">
        <f>'Z_EU Marinas_Scenario_Calc'!V25</f>
        <v>#DIV/0!</v>
      </c>
      <c r="O94" s="64"/>
    </row>
    <row r="95" spans="1:15" x14ac:dyDescent="0.2">
      <c r="A95" s="64"/>
      <c r="C95" s="61" t="s">
        <v>112</v>
      </c>
      <c r="D95" s="61" t="s">
        <v>107</v>
      </c>
      <c r="E95" s="61">
        <v>6</v>
      </c>
      <c r="F95" s="136" t="e">
        <f>'Z_EU Marinas_Scenario_Calc'!S26</f>
        <v>#DIV/0!</v>
      </c>
      <c r="G95" s="136" t="e">
        <f>'Z_EU Marinas_Scenario_Calc'!T26</f>
        <v>#DIV/0!</v>
      </c>
      <c r="H95" s="136" t="e">
        <f>'Z_EU Marinas_Scenario_Calc'!U26</f>
        <v>#DIV/0!</v>
      </c>
      <c r="I95" s="136" t="e">
        <f>'Z_EU Marinas_Scenario_Calc'!V26</f>
        <v>#DIV/0!</v>
      </c>
      <c r="O95" s="64"/>
    </row>
    <row r="96" spans="1:15" x14ac:dyDescent="0.2">
      <c r="A96" s="64"/>
      <c r="C96" s="61" t="s">
        <v>113</v>
      </c>
      <c r="D96" s="61" t="s">
        <v>107</v>
      </c>
      <c r="E96" s="61">
        <v>7</v>
      </c>
      <c r="F96" s="136" t="e">
        <f>'Z_EU Marinas_Scenario_Calc'!S27</f>
        <v>#DIV/0!</v>
      </c>
      <c r="G96" s="136" t="e">
        <f>'Z_EU Marinas_Scenario_Calc'!T27</f>
        <v>#DIV/0!</v>
      </c>
      <c r="H96" s="136" t="e">
        <f>'Z_EU Marinas_Scenario_Calc'!U27</f>
        <v>#DIV/0!</v>
      </c>
      <c r="I96" s="136" t="e">
        <f>'Z_EU Marinas_Scenario_Calc'!V27</f>
        <v>#DIV/0!</v>
      </c>
      <c r="O96" s="64"/>
    </row>
    <row r="97" spans="1:15" x14ac:dyDescent="0.2">
      <c r="A97" s="64"/>
      <c r="C97" s="61" t="s">
        <v>114</v>
      </c>
      <c r="D97" s="61" t="s">
        <v>115</v>
      </c>
      <c r="E97" s="61">
        <v>2</v>
      </c>
      <c r="F97" s="136" t="e">
        <f>'Z_EU Marinas_Scenario_Calc'!S28</f>
        <v>#DIV/0!</v>
      </c>
      <c r="G97" s="136" t="e">
        <f>'Z_EU Marinas_Scenario_Calc'!T28</f>
        <v>#DIV/0!</v>
      </c>
      <c r="H97" s="136" t="e">
        <f>'Z_EU Marinas_Scenario_Calc'!U28</f>
        <v>#DIV/0!</v>
      </c>
      <c r="I97" s="136" t="e">
        <f>'Z_EU Marinas_Scenario_Calc'!V28</f>
        <v>#DIV/0!</v>
      </c>
      <c r="O97" s="64"/>
    </row>
    <row r="98" spans="1:15" x14ac:dyDescent="0.2">
      <c r="A98" s="64"/>
      <c r="C98" s="61" t="s">
        <v>116</v>
      </c>
      <c r="D98" s="61" t="s">
        <v>115</v>
      </c>
      <c r="E98" s="61">
        <v>3</v>
      </c>
      <c r="F98" s="136" t="e">
        <f>'Z_EU Marinas_Scenario_Calc'!S29</f>
        <v>#DIV/0!</v>
      </c>
      <c r="G98" s="136" t="e">
        <f>'Z_EU Marinas_Scenario_Calc'!T29</f>
        <v>#DIV/0!</v>
      </c>
      <c r="H98" s="136" t="e">
        <f>'Z_EU Marinas_Scenario_Calc'!U29</f>
        <v>#DIV/0!</v>
      </c>
      <c r="I98" s="136" t="e">
        <f>'Z_EU Marinas_Scenario_Calc'!V29</f>
        <v>#DIV/0!</v>
      </c>
      <c r="O98" s="64"/>
    </row>
    <row r="99" spans="1:15" x14ac:dyDescent="0.2">
      <c r="A99" s="64"/>
      <c r="C99" s="61" t="s">
        <v>117</v>
      </c>
      <c r="D99" s="61" t="s">
        <v>115</v>
      </c>
      <c r="E99" s="61">
        <v>5</v>
      </c>
      <c r="F99" s="136" t="e">
        <f>'Z_EU Marinas_Scenario_Calc'!S30</f>
        <v>#DIV/0!</v>
      </c>
      <c r="G99" s="136" t="e">
        <f>'Z_EU Marinas_Scenario_Calc'!T30</f>
        <v>#DIV/0!</v>
      </c>
      <c r="H99" s="136" t="e">
        <f>'Z_EU Marinas_Scenario_Calc'!U30</f>
        <v>#DIV/0!</v>
      </c>
      <c r="I99" s="136" t="e">
        <f>'Z_EU Marinas_Scenario_Calc'!V30</f>
        <v>#DIV/0!</v>
      </c>
      <c r="O99" s="64"/>
    </row>
    <row r="100" spans="1:15" x14ac:dyDescent="0.2">
      <c r="A100" s="64"/>
      <c r="C100" s="61" t="s">
        <v>118</v>
      </c>
      <c r="D100" s="61" t="s">
        <v>115</v>
      </c>
      <c r="E100" s="61">
        <v>6</v>
      </c>
      <c r="F100" s="136" t="e">
        <f>'Z_EU Marinas_Scenario_Calc'!S31</f>
        <v>#DIV/0!</v>
      </c>
      <c r="G100" s="136" t="e">
        <f>'Z_EU Marinas_Scenario_Calc'!T31</f>
        <v>#DIV/0!</v>
      </c>
      <c r="H100" s="136" t="e">
        <f>'Z_EU Marinas_Scenario_Calc'!U31</f>
        <v>#DIV/0!</v>
      </c>
      <c r="I100" s="136" t="e">
        <f>'Z_EU Marinas_Scenario_Calc'!V31</f>
        <v>#DIV/0!</v>
      </c>
      <c r="O100" s="64"/>
    </row>
    <row r="101" spans="1:15" x14ac:dyDescent="0.2">
      <c r="A101" s="64"/>
      <c r="C101" s="61" t="s">
        <v>119</v>
      </c>
      <c r="D101" s="61" t="s">
        <v>115</v>
      </c>
      <c r="E101" s="61">
        <v>11</v>
      </c>
      <c r="F101" s="136" t="e">
        <f>'Z_EU Marinas_Scenario_Calc'!S32</f>
        <v>#DIV/0!</v>
      </c>
      <c r="G101" s="136" t="e">
        <f>'Z_EU Marinas_Scenario_Calc'!T32</f>
        <v>#DIV/0!</v>
      </c>
      <c r="H101" s="136" t="e">
        <f>'Z_EU Marinas_Scenario_Calc'!U32</f>
        <v>#DIV/0!</v>
      </c>
      <c r="I101" s="136" t="e">
        <f>'Z_EU Marinas_Scenario_Calc'!V32</f>
        <v>#DIV/0!</v>
      </c>
      <c r="O101" s="64"/>
    </row>
    <row r="102" spans="1:15" x14ac:dyDescent="0.2">
      <c r="A102" s="64"/>
      <c r="C102" s="61" t="s">
        <v>120</v>
      </c>
      <c r="D102" s="61" t="s">
        <v>115</v>
      </c>
      <c r="E102" s="61">
        <v>12</v>
      </c>
      <c r="F102" s="136" t="e">
        <f>'Z_EU Marinas_Scenario_Calc'!S33</f>
        <v>#DIV/0!</v>
      </c>
      <c r="G102" s="136" t="e">
        <f>'Z_EU Marinas_Scenario_Calc'!T33</f>
        <v>#DIV/0!</v>
      </c>
      <c r="H102" s="136" t="e">
        <f>'Z_EU Marinas_Scenario_Calc'!U33</f>
        <v>#DIV/0!</v>
      </c>
      <c r="I102" s="136" t="e">
        <f>'Z_EU Marinas_Scenario_Calc'!V33</f>
        <v>#DIV/0!</v>
      </c>
      <c r="O102" s="64"/>
    </row>
    <row r="103" spans="1:15" x14ac:dyDescent="0.2">
      <c r="A103" s="64"/>
      <c r="C103" s="61" t="s">
        <v>121</v>
      </c>
      <c r="D103" s="61" t="s">
        <v>12</v>
      </c>
      <c r="E103" s="61" t="s">
        <v>122</v>
      </c>
      <c r="F103" s="136" t="e">
        <f>'Z_EU Marinas_Scenario_Calc'!S34</f>
        <v>#DIV/0!</v>
      </c>
      <c r="G103" s="136" t="e">
        <f>'Z_EU Marinas_Scenario_Calc'!T34</f>
        <v>#DIV/0!</v>
      </c>
      <c r="H103" s="136" t="e">
        <f>'Z_EU Marinas_Scenario_Calc'!U34</f>
        <v>#DIV/0!</v>
      </c>
      <c r="I103" s="136" t="e">
        <f>'Z_EU Marinas_Scenario_Calc'!V34</f>
        <v>#DIV/0!</v>
      </c>
      <c r="O103" s="64"/>
    </row>
    <row r="104" spans="1:15" x14ac:dyDescent="0.2">
      <c r="A104" s="64"/>
      <c r="C104" s="61" t="s">
        <v>123</v>
      </c>
      <c r="D104" s="61" t="s">
        <v>12</v>
      </c>
      <c r="E104" s="61" t="s">
        <v>124</v>
      </c>
      <c r="F104" s="136" t="e">
        <f>'Z_EU Marinas_Scenario_Calc'!S35</f>
        <v>#DIV/0!</v>
      </c>
      <c r="G104" s="136" t="e">
        <f>'Z_EU Marinas_Scenario_Calc'!T35</f>
        <v>#DIV/0!</v>
      </c>
      <c r="H104" s="136" t="e">
        <f>'Z_EU Marinas_Scenario_Calc'!U35</f>
        <v>#DIV/0!</v>
      </c>
      <c r="I104" s="136" t="e">
        <f>'Z_EU Marinas_Scenario_Calc'!V35</f>
        <v>#DIV/0!</v>
      </c>
      <c r="O104" s="64"/>
    </row>
    <row r="105" spans="1:15" x14ac:dyDescent="0.2">
      <c r="A105" s="64"/>
      <c r="C105" s="61" t="s">
        <v>125</v>
      </c>
      <c r="D105" s="61" t="s">
        <v>12</v>
      </c>
      <c r="E105" s="61" t="s">
        <v>126</v>
      </c>
      <c r="F105" s="136" t="e">
        <f>'Z_EU Marinas_Scenario_Calc'!S36</f>
        <v>#DIV/0!</v>
      </c>
      <c r="G105" s="136" t="e">
        <f>'Z_EU Marinas_Scenario_Calc'!T36</f>
        <v>#DIV/0!</v>
      </c>
      <c r="H105" s="136" t="e">
        <f>'Z_EU Marinas_Scenario_Calc'!U36</f>
        <v>#DIV/0!</v>
      </c>
      <c r="I105" s="136" t="e">
        <f>'Z_EU Marinas_Scenario_Calc'!V36</f>
        <v>#DIV/0!</v>
      </c>
      <c r="O105" s="64"/>
    </row>
    <row r="106" spans="1:15" x14ac:dyDescent="0.2">
      <c r="A106" s="64"/>
      <c r="C106" s="61" t="s">
        <v>127</v>
      </c>
      <c r="D106" s="61" t="s">
        <v>12</v>
      </c>
      <c r="E106" s="61" t="s">
        <v>128</v>
      </c>
      <c r="F106" s="136" t="e">
        <f>'Z_EU Marinas_Scenario_Calc'!S37</f>
        <v>#DIV/0!</v>
      </c>
      <c r="G106" s="136" t="e">
        <f>'Z_EU Marinas_Scenario_Calc'!T37</f>
        <v>#DIV/0!</v>
      </c>
      <c r="H106" s="136" t="e">
        <f>'Z_EU Marinas_Scenario_Calc'!U37</f>
        <v>#DIV/0!</v>
      </c>
      <c r="I106" s="136" t="e">
        <f>'Z_EU Marinas_Scenario_Calc'!V37</f>
        <v>#DIV/0!</v>
      </c>
      <c r="O106" s="64"/>
    </row>
    <row r="107" spans="1:15" x14ac:dyDescent="0.2">
      <c r="A107" s="64"/>
      <c r="C107" s="61" t="s">
        <v>129</v>
      </c>
      <c r="D107" s="61" t="s">
        <v>12</v>
      </c>
      <c r="E107" s="61" t="s">
        <v>130</v>
      </c>
      <c r="F107" s="136" t="e">
        <f>'Z_EU Marinas_Scenario_Calc'!S38</f>
        <v>#DIV/0!</v>
      </c>
      <c r="G107" s="136" t="e">
        <f>'Z_EU Marinas_Scenario_Calc'!T38</f>
        <v>#DIV/0!</v>
      </c>
      <c r="H107" s="136" t="e">
        <f>'Z_EU Marinas_Scenario_Calc'!U38</f>
        <v>#DIV/0!</v>
      </c>
      <c r="I107" s="136" t="e">
        <f>'Z_EU Marinas_Scenario_Calc'!V38</f>
        <v>#DIV/0!</v>
      </c>
      <c r="O107" s="64"/>
    </row>
    <row r="108" spans="1:15" x14ac:dyDescent="0.2">
      <c r="A108" s="64"/>
      <c r="C108" s="61" t="s">
        <v>131</v>
      </c>
      <c r="D108" s="61" t="s">
        <v>12</v>
      </c>
      <c r="E108" s="61" t="s">
        <v>132</v>
      </c>
      <c r="F108" s="136" t="e">
        <f>'Z_EU Marinas_Scenario_Calc'!S39</f>
        <v>#DIV/0!</v>
      </c>
      <c r="G108" s="136" t="e">
        <f>'Z_EU Marinas_Scenario_Calc'!T39</f>
        <v>#DIV/0!</v>
      </c>
      <c r="H108" s="136" t="e">
        <f>'Z_EU Marinas_Scenario_Calc'!U39</f>
        <v>#DIV/0!</v>
      </c>
      <c r="I108" s="136" t="e">
        <f>'Z_EU Marinas_Scenario_Calc'!V39</f>
        <v>#DIV/0!</v>
      </c>
      <c r="O108" s="64"/>
    </row>
    <row r="109" spans="1:15" x14ac:dyDescent="0.2">
      <c r="A109" s="64"/>
      <c r="C109" s="61" t="s">
        <v>133</v>
      </c>
      <c r="D109" s="61" t="s">
        <v>12</v>
      </c>
      <c r="E109" s="61" t="s">
        <v>134</v>
      </c>
      <c r="F109" s="136" t="e">
        <f>'Z_EU Marinas_Scenario_Calc'!S40</f>
        <v>#DIV/0!</v>
      </c>
      <c r="G109" s="136" t="e">
        <f>'Z_EU Marinas_Scenario_Calc'!T40</f>
        <v>#DIV/0!</v>
      </c>
      <c r="H109" s="136" t="e">
        <f>'Z_EU Marinas_Scenario_Calc'!U40</f>
        <v>#DIV/0!</v>
      </c>
      <c r="I109" s="136" t="e">
        <f>'Z_EU Marinas_Scenario_Calc'!V40</f>
        <v>#DIV/0!</v>
      </c>
      <c r="O109" s="64"/>
    </row>
    <row r="110" spans="1:15" x14ac:dyDescent="0.2">
      <c r="A110" s="64"/>
      <c r="C110" s="61" t="s">
        <v>135</v>
      </c>
      <c r="D110" s="61" t="s">
        <v>12</v>
      </c>
      <c r="E110" s="61" t="s">
        <v>136</v>
      </c>
      <c r="F110" s="136" t="e">
        <f>'Z_EU Marinas_Scenario_Calc'!S41</f>
        <v>#DIV/0!</v>
      </c>
      <c r="G110" s="136" t="e">
        <f>'Z_EU Marinas_Scenario_Calc'!T41</f>
        <v>#DIV/0!</v>
      </c>
      <c r="H110" s="136" t="e">
        <f>'Z_EU Marinas_Scenario_Calc'!U41</f>
        <v>#DIV/0!</v>
      </c>
      <c r="I110" s="136" t="e">
        <f>'Z_EU Marinas_Scenario_Calc'!V41</f>
        <v>#DIV/0!</v>
      </c>
      <c r="O110" s="64"/>
    </row>
    <row r="111" spans="1:15" x14ac:dyDescent="0.2">
      <c r="A111" s="64"/>
      <c r="C111" s="61" t="s">
        <v>137</v>
      </c>
      <c r="D111" s="61" t="s">
        <v>12</v>
      </c>
      <c r="E111" s="61" t="s">
        <v>138</v>
      </c>
      <c r="F111" s="136" t="e">
        <f>'Z_EU Marinas_Scenario_Calc'!S42</f>
        <v>#DIV/0!</v>
      </c>
      <c r="G111" s="136" t="e">
        <f>'Z_EU Marinas_Scenario_Calc'!T42</f>
        <v>#DIV/0!</v>
      </c>
      <c r="H111" s="136" t="e">
        <f>'Z_EU Marinas_Scenario_Calc'!U42</f>
        <v>#DIV/0!</v>
      </c>
      <c r="I111" s="136" t="e">
        <f>'Z_EU Marinas_Scenario_Calc'!V42</f>
        <v>#DIV/0!</v>
      </c>
      <c r="O111" s="64"/>
    </row>
    <row r="112" spans="1:15" x14ac:dyDescent="0.2">
      <c r="A112" s="64"/>
      <c r="C112" s="61" t="s">
        <v>139</v>
      </c>
      <c r="D112" s="61" t="s">
        <v>12</v>
      </c>
      <c r="E112" s="61" t="s">
        <v>140</v>
      </c>
      <c r="F112" s="136" t="e">
        <f>'Z_EU Marinas_Scenario_Calc'!S43</f>
        <v>#DIV/0!</v>
      </c>
      <c r="G112" s="136" t="e">
        <f>'Z_EU Marinas_Scenario_Calc'!T43</f>
        <v>#DIV/0!</v>
      </c>
      <c r="H112" s="136" t="e">
        <f>'Z_EU Marinas_Scenario_Calc'!U43</f>
        <v>#DIV/0!</v>
      </c>
      <c r="I112" s="136" t="e">
        <f>'Z_EU Marinas_Scenario_Calc'!V43</f>
        <v>#DIV/0!</v>
      </c>
      <c r="O112" s="64"/>
    </row>
    <row r="113" spans="1:15" x14ac:dyDescent="0.2">
      <c r="A113" s="64"/>
      <c r="C113" s="61" t="s">
        <v>141</v>
      </c>
      <c r="D113" s="61" t="s">
        <v>13</v>
      </c>
      <c r="E113" s="61">
        <v>1</v>
      </c>
      <c r="F113" s="136" t="e">
        <f>'Z_EU Marinas_Scenario_Calc'!S44</f>
        <v>#DIV/0!</v>
      </c>
      <c r="G113" s="136" t="e">
        <f>'Z_EU Marinas_Scenario_Calc'!T44</f>
        <v>#DIV/0!</v>
      </c>
      <c r="H113" s="136" t="e">
        <f>'Z_EU Marinas_Scenario_Calc'!U44</f>
        <v>#DIV/0!</v>
      </c>
      <c r="I113" s="136" t="e">
        <f>'Z_EU Marinas_Scenario_Calc'!V44</f>
        <v>#DIV/0!</v>
      </c>
      <c r="O113" s="64"/>
    </row>
    <row r="114" spans="1:15" x14ac:dyDescent="0.2">
      <c r="A114" s="64"/>
      <c r="C114" s="61" t="s">
        <v>142</v>
      </c>
      <c r="D114" s="61" t="s">
        <v>13</v>
      </c>
      <c r="E114" s="61">
        <v>3</v>
      </c>
      <c r="F114" s="136" t="e">
        <f>'Z_EU Marinas_Scenario_Calc'!S45</f>
        <v>#DIV/0!</v>
      </c>
      <c r="G114" s="136" t="e">
        <f>'Z_EU Marinas_Scenario_Calc'!T45</f>
        <v>#DIV/0!</v>
      </c>
      <c r="H114" s="136" t="e">
        <f>'Z_EU Marinas_Scenario_Calc'!U45</f>
        <v>#DIV/0!</v>
      </c>
      <c r="I114" s="136" t="e">
        <f>'Z_EU Marinas_Scenario_Calc'!V45</f>
        <v>#DIV/0!</v>
      </c>
      <c r="O114" s="64"/>
    </row>
    <row r="115" spans="1:15" x14ac:dyDescent="0.2">
      <c r="A115" s="64"/>
      <c r="C115" s="61" t="s">
        <v>143</v>
      </c>
      <c r="D115" s="61" t="s">
        <v>13</v>
      </c>
      <c r="E115" s="61">
        <v>4</v>
      </c>
      <c r="F115" s="136" t="e">
        <f>'Z_EU Marinas_Scenario_Calc'!S46</f>
        <v>#DIV/0!</v>
      </c>
      <c r="G115" s="136" t="e">
        <f>'Z_EU Marinas_Scenario_Calc'!T46</f>
        <v>#DIV/0!</v>
      </c>
      <c r="H115" s="136" t="e">
        <f>'Z_EU Marinas_Scenario_Calc'!U46</f>
        <v>#DIV/0!</v>
      </c>
      <c r="I115" s="136" t="e">
        <f>'Z_EU Marinas_Scenario_Calc'!V46</f>
        <v>#DIV/0!</v>
      </c>
      <c r="O115" s="64"/>
    </row>
    <row r="116" spans="1:15" x14ac:dyDescent="0.2">
      <c r="A116" s="64"/>
      <c r="C116" s="61" t="s">
        <v>144</v>
      </c>
      <c r="D116" s="61" t="s">
        <v>13</v>
      </c>
      <c r="E116" s="61">
        <v>6</v>
      </c>
      <c r="F116" s="136" t="e">
        <f>'Z_EU Marinas_Scenario_Calc'!S47</f>
        <v>#DIV/0!</v>
      </c>
      <c r="G116" s="136" t="e">
        <f>'Z_EU Marinas_Scenario_Calc'!T47</f>
        <v>#DIV/0!</v>
      </c>
      <c r="H116" s="136" t="e">
        <f>'Z_EU Marinas_Scenario_Calc'!U47</f>
        <v>#DIV/0!</v>
      </c>
      <c r="I116" s="136" t="e">
        <f>'Z_EU Marinas_Scenario_Calc'!V47</f>
        <v>#DIV/0!</v>
      </c>
      <c r="O116" s="64"/>
    </row>
    <row r="117" spans="1:15" x14ac:dyDescent="0.2">
      <c r="A117" s="64"/>
      <c r="C117" s="61" t="s">
        <v>145</v>
      </c>
      <c r="D117" s="61" t="s">
        <v>13</v>
      </c>
      <c r="E117" s="61">
        <v>7</v>
      </c>
      <c r="F117" s="136" t="e">
        <f>'Z_EU Marinas_Scenario_Calc'!S48</f>
        <v>#DIV/0!</v>
      </c>
      <c r="G117" s="136" t="e">
        <f>'Z_EU Marinas_Scenario_Calc'!T48</f>
        <v>#DIV/0!</v>
      </c>
      <c r="H117" s="136" t="e">
        <f>'Z_EU Marinas_Scenario_Calc'!U48</f>
        <v>#DIV/0!</v>
      </c>
      <c r="I117" s="136" t="e">
        <f>'Z_EU Marinas_Scenario_Calc'!V48</f>
        <v>#DIV/0!</v>
      </c>
      <c r="O117" s="64"/>
    </row>
    <row r="118" spans="1:15" x14ac:dyDescent="0.2">
      <c r="A118" s="64"/>
      <c r="C118" s="61" t="s">
        <v>146</v>
      </c>
      <c r="D118" s="61" t="s">
        <v>13</v>
      </c>
      <c r="E118" s="61">
        <v>8</v>
      </c>
      <c r="F118" s="136" t="e">
        <f>'Z_EU Marinas_Scenario_Calc'!S49</f>
        <v>#DIV/0!</v>
      </c>
      <c r="G118" s="136" t="e">
        <f>'Z_EU Marinas_Scenario_Calc'!T49</f>
        <v>#DIV/0!</v>
      </c>
      <c r="H118" s="136" t="e">
        <f>'Z_EU Marinas_Scenario_Calc'!U49</f>
        <v>#DIV/0!</v>
      </c>
      <c r="I118" s="136" t="e">
        <f>'Z_EU Marinas_Scenario_Calc'!V49</f>
        <v>#DIV/0!</v>
      </c>
      <c r="O118" s="64"/>
    </row>
    <row r="119" spans="1:15" x14ac:dyDescent="0.2">
      <c r="A119" s="64"/>
      <c r="C119" s="61" t="s">
        <v>147</v>
      </c>
      <c r="D119" s="61" t="s">
        <v>13</v>
      </c>
      <c r="E119" s="61">
        <v>14</v>
      </c>
      <c r="F119" s="136" t="e">
        <f>'Z_EU Marinas_Scenario_Calc'!S50</f>
        <v>#DIV/0!</v>
      </c>
      <c r="G119" s="136" t="e">
        <f>'Z_EU Marinas_Scenario_Calc'!T50</f>
        <v>#DIV/0!</v>
      </c>
      <c r="H119" s="136" t="e">
        <f>'Z_EU Marinas_Scenario_Calc'!U50</f>
        <v>#DIV/0!</v>
      </c>
      <c r="I119" s="136" t="e">
        <f>'Z_EU Marinas_Scenario_Calc'!V50</f>
        <v>#DIV/0!</v>
      </c>
      <c r="O119" s="64"/>
    </row>
    <row r="120" spans="1:15" x14ac:dyDescent="0.2">
      <c r="A120" s="64"/>
      <c r="C120" s="61" t="s">
        <v>148</v>
      </c>
      <c r="D120" s="61" t="s">
        <v>13</v>
      </c>
      <c r="E120" s="61">
        <v>17</v>
      </c>
      <c r="F120" s="136" t="e">
        <f>'Z_EU Marinas_Scenario_Calc'!S51</f>
        <v>#DIV/0!</v>
      </c>
      <c r="G120" s="136" t="e">
        <f>'Z_EU Marinas_Scenario_Calc'!T51</f>
        <v>#DIV/0!</v>
      </c>
      <c r="H120" s="136" t="e">
        <f>'Z_EU Marinas_Scenario_Calc'!U51</f>
        <v>#DIV/0!</v>
      </c>
      <c r="I120" s="136" t="e">
        <f>'Z_EU Marinas_Scenario_Calc'!V51</f>
        <v>#DIV/0!</v>
      </c>
      <c r="O120" s="64"/>
    </row>
    <row r="121" spans="1:15" x14ac:dyDescent="0.2">
      <c r="A121" s="64"/>
      <c r="C121" s="61" t="s">
        <v>149</v>
      </c>
      <c r="D121" s="61" t="s">
        <v>13</v>
      </c>
      <c r="E121" s="61">
        <v>21</v>
      </c>
      <c r="F121" s="136" t="e">
        <f>'Z_EU Marinas_Scenario_Calc'!S52</f>
        <v>#DIV/0!</v>
      </c>
      <c r="G121" s="136" t="e">
        <f>'Z_EU Marinas_Scenario_Calc'!T52</f>
        <v>#DIV/0!</v>
      </c>
      <c r="H121" s="136" t="e">
        <f>'Z_EU Marinas_Scenario_Calc'!U52</f>
        <v>#DIV/0!</v>
      </c>
      <c r="I121" s="136" t="e">
        <f>'Z_EU Marinas_Scenario_Calc'!V52</f>
        <v>#DIV/0!</v>
      </c>
      <c r="O121" s="64"/>
    </row>
    <row r="122" spans="1:15" x14ac:dyDescent="0.2">
      <c r="A122" s="64"/>
      <c r="C122" s="61" t="s">
        <v>150</v>
      </c>
      <c r="D122" s="61" t="s">
        <v>13</v>
      </c>
      <c r="E122" s="61">
        <v>26</v>
      </c>
      <c r="F122" s="136" t="e">
        <f>'Z_EU Marinas_Scenario_Calc'!S53</f>
        <v>#DIV/0!</v>
      </c>
      <c r="G122" s="136" t="e">
        <f>'Z_EU Marinas_Scenario_Calc'!T53</f>
        <v>#DIV/0!</v>
      </c>
      <c r="H122" s="136" t="e">
        <f>'Z_EU Marinas_Scenario_Calc'!U53</f>
        <v>#DIV/0!</v>
      </c>
      <c r="I122" s="136" t="e">
        <f>'Z_EU Marinas_Scenario_Calc'!V53</f>
        <v>#DIV/0!</v>
      </c>
      <c r="O122" s="64"/>
    </row>
    <row r="123" spans="1:15" x14ac:dyDescent="0.2">
      <c r="A123" s="64"/>
      <c r="C123" s="61" t="s">
        <v>151</v>
      </c>
      <c r="D123" s="61" t="s">
        <v>13</v>
      </c>
      <c r="E123" s="61">
        <v>30</v>
      </c>
      <c r="F123" s="136" t="e">
        <f>'Z_EU Marinas_Scenario_Calc'!S54</f>
        <v>#DIV/0!</v>
      </c>
      <c r="G123" s="136" t="e">
        <f>'Z_EU Marinas_Scenario_Calc'!T54</f>
        <v>#DIV/0!</v>
      </c>
      <c r="H123" s="136" t="e">
        <f>'Z_EU Marinas_Scenario_Calc'!U54</f>
        <v>#DIV/0!</v>
      </c>
      <c r="I123" s="136" t="e">
        <f>'Z_EU Marinas_Scenario_Calc'!V54</f>
        <v>#DIV/0!</v>
      </c>
      <c r="O123" s="64"/>
    </row>
    <row r="124" spans="1:15" x14ac:dyDescent="0.2">
      <c r="A124" s="64"/>
      <c r="C124" s="61" t="s">
        <v>152</v>
      </c>
      <c r="D124" s="61" t="s">
        <v>13</v>
      </c>
      <c r="E124" s="61">
        <v>34</v>
      </c>
      <c r="F124" s="136" t="e">
        <f>'Z_EU Marinas_Scenario_Calc'!S55</f>
        <v>#DIV/0!</v>
      </c>
      <c r="G124" s="136" t="e">
        <f>'Z_EU Marinas_Scenario_Calc'!T55</f>
        <v>#DIV/0!</v>
      </c>
      <c r="H124" s="136" t="e">
        <f>'Z_EU Marinas_Scenario_Calc'!U55</f>
        <v>#DIV/0!</v>
      </c>
      <c r="I124" s="136" t="e">
        <f>'Z_EU Marinas_Scenario_Calc'!V55</f>
        <v>#DIV/0!</v>
      </c>
      <c r="O124" s="64"/>
    </row>
    <row r="125" spans="1:15" x14ac:dyDescent="0.2">
      <c r="A125" s="64"/>
      <c r="C125" s="61" t="s">
        <v>153</v>
      </c>
      <c r="D125" s="61" t="s">
        <v>13</v>
      </c>
      <c r="E125" s="61">
        <v>40</v>
      </c>
      <c r="F125" s="136" t="e">
        <f>'Z_EU Marinas_Scenario_Calc'!S56</f>
        <v>#DIV/0!</v>
      </c>
      <c r="G125" s="136" t="e">
        <f>'Z_EU Marinas_Scenario_Calc'!T56</f>
        <v>#DIV/0!</v>
      </c>
      <c r="H125" s="136" t="e">
        <f>'Z_EU Marinas_Scenario_Calc'!U56</f>
        <v>#DIV/0!</v>
      </c>
      <c r="I125" s="136" t="e">
        <f>'Z_EU Marinas_Scenario_Calc'!V56</f>
        <v>#DIV/0!</v>
      </c>
      <c r="O125" s="64"/>
    </row>
    <row r="126" spans="1:15" x14ac:dyDescent="0.2">
      <c r="A126" s="64"/>
      <c r="C126" s="61" t="s">
        <v>154</v>
      </c>
      <c r="D126" s="61" t="s">
        <v>13</v>
      </c>
      <c r="E126" s="61">
        <v>42</v>
      </c>
      <c r="F126" s="136" t="e">
        <f>'Z_EU Marinas_Scenario_Calc'!S57</f>
        <v>#DIV/0!</v>
      </c>
      <c r="G126" s="136" t="e">
        <f>'Z_EU Marinas_Scenario_Calc'!T57</f>
        <v>#DIV/0!</v>
      </c>
      <c r="H126" s="136" t="e">
        <f>'Z_EU Marinas_Scenario_Calc'!U57</f>
        <v>#DIV/0!</v>
      </c>
      <c r="I126" s="136" t="e">
        <f>'Z_EU Marinas_Scenario_Calc'!V57</f>
        <v>#DIV/0!</v>
      </c>
      <c r="O126" s="64"/>
    </row>
    <row r="127" spans="1:15" x14ac:dyDescent="0.2">
      <c r="A127" s="64"/>
      <c r="C127" s="61" t="s">
        <v>155</v>
      </c>
      <c r="D127" s="61" t="s">
        <v>13</v>
      </c>
      <c r="E127" s="61">
        <v>44</v>
      </c>
      <c r="F127" s="136" t="e">
        <f>'Z_EU Marinas_Scenario_Calc'!S58</f>
        <v>#DIV/0!</v>
      </c>
      <c r="G127" s="136" t="e">
        <f>'Z_EU Marinas_Scenario_Calc'!T58</f>
        <v>#DIV/0!</v>
      </c>
      <c r="H127" s="136" t="e">
        <f>'Z_EU Marinas_Scenario_Calc'!U58</f>
        <v>#DIV/0!</v>
      </c>
      <c r="I127" s="136" t="e">
        <f>'Z_EU Marinas_Scenario_Calc'!V58</f>
        <v>#DIV/0!</v>
      </c>
      <c r="O127" s="64"/>
    </row>
    <row r="128" spans="1:15" x14ac:dyDescent="0.2">
      <c r="A128" s="64"/>
      <c r="C128" s="61" t="s">
        <v>156</v>
      </c>
      <c r="D128" s="61" t="s">
        <v>13</v>
      </c>
      <c r="E128" s="61">
        <v>45</v>
      </c>
      <c r="F128" s="136" t="e">
        <f>'Z_EU Marinas_Scenario_Calc'!S59</f>
        <v>#DIV/0!</v>
      </c>
      <c r="G128" s="136" t="e">
        <f>'Z_EU Marinas_Scenario_Calc'!T59</f>
        <v>#DIV/0!</v>
      </c>
      <c r="H128" s="136" t="e">
        <f>'Z_EU Marinas_Scenario_Calc'!U59</f>
        <v>#DIV/0!</v>
      </c>
      <c r="I128" s="136" t="e">
        <f>'Z_EU Marinas_Scenario_Calc'!V59</f>
        <v>#DIV/0!</v>
      </c>
      <c r="O128" s="64"/>
    </row>
    <row r="129" spans="1:15" x14ac:dyDescent="0.2">
      <c r="A129" s="64"/>
      <c r="C129" s="61" t="s">
        <v>157</v>
      </c>
      <c r="D129" s="61" t="s">
        <v>13</v>
      </c>
      <c r="E129" s="61">
        <v>46</v>
      </c>
      <c r="F129" s="136" t="e">
        <f>'Z_EU Marinas_Scenario_Calc'!S60</f>
        <v>#DIV/0!</v>
      </c>
      <c r="G129" s="136" t="e">
        <f>'Z_EU Marinas_Scenario_Calc'!T60</f>
        <v>#DIV/0!</v>
      </c>
      <c r="H129" s="136" t="e">
        <f>'Z_EU Marinas_Scenario_Calc'!U60</f>
        <v>#DIV/0!</v>
      </c>
      <c r="I129" s="136" t="e">
        <f>'Z_EU Marinas_Scenario_Calc'!V60</f>
        <v>#DIV/0!</v>
      </c>
      <c r="O129" s="64"/>
    </row>
    <row r="130" spans="1:15" x14ac:dyDescent="0.2">
      <c r="A130" s="64"/>
      <c r="C130" s="61" t="s">
        <v>158</v>
      </c>
      <c r="D130" s="61" t="s">
        <v>13</v>
      </c>
      <c r="E130" s="61">
        <v>48</v>
      </c>
      <c r="F130" s="136" t="e">
        <f>'Z_EU Marinas_Scenario_Calc'!S61</f>
        <v>#DIV/0!</v>
      </c>
      <c r="G130" s="136" t="e">
        <f>'Z_EU Marinas_Scenario_Calc'!T61</f>
        <v>#DIV/0!</v>
      </c>
      <c r="H130" s="136" t="e">
        <f>'Z_EU Marinas_Scenario_Calc'!U61</f>
        <v>#DIV/0!</v>
      </c>
      <c r="I130" s="136" t="e">
        <f>'Z_EU Marinas_Scenario_Calc'!V61</f>
        <v>#DIV/0!</v>
      </c>
      <c r="O130" s="64"/>
    </row>
    <row r="131" spans="1:15" x14ac:dyDescent="0.2">
      <c r="A131" s="64"/>
      <c r="C131" s="61" t="s">
        <v>159</v>
      </c>
      <c r="D131" s="61" t="s">
        <v>160</v>
      </c>
      <c r="E131" s="61">
        <v>1</v>
      </c>
      <c r="F131" s="136" t="e">
        <f>'Z_EU Marinas_Scenario_Calc'!S62</f>
        <v>#DIV/0!</v>
      </c>
      <c r="G131" s="136" t="e">
        <f>'Z_EU Marinas_Scenario_Calc'!T62</f>
        <v>#DIV/0!</v>
      </c>
      <c r="H131" s="136" t="e">
        <f>'Z_EU Marinas_Scenario_Calc'!U62</f>
        <v>#DIV/0!</v>
      </c>
      <c r="I131" s="136" t="e">
        <f>'Z_EU Marinas_Scenario_Calc'!V62</f>
        <v>#DIV/0!</v>
      </c>
      <c r="O131" s="64"/>
    </row>
    <row r="132" spans="1:15" x14ac:dyDescent="0.2">
      <c r="A132" s="64"/>
      <c r="C132" s="61" t="s">
        <v>161</v>
      </c>
      <c r="D132" s="61" t="s">
        <v>160</v>
      </c>
      <c r="E132" s="61">
        <v>2</v>
      </c>
      <c r="F132" s="136" t="e">
        <f>'Z_EU Marinas_Scenario_Calc'!S63</f>
        <v>#DIV/0!</v>
      </c>
      <c r="G132" s="136" t="e">
        <f>'Z_EU Marinas_Scenario_Calc'!T63</f>
        <v>#DIV/0!</v>
      </c>
      <c r="H132" s="136" t="e">
        <f>'Z_EU Marinas_Scenario_Calc'!U63</f>
        <v>#DIV/0!</v>
      </c>
      <c r="I132" s="136" t="e">
        <f>'Z_EU Marinas_Scenario_Calc'!V63</f>
        <v>#DIV/0!</v>
      </c>
      <c r="O132" s="64"/>
    </row>
    <row r="133" spans="1:15" x14ac:dyDescent="0.2">
      <c r="A133" s="64"/>
      <c r="C133" s="61" t="s">
        <v>162</v>
      </c>
      <c r="D133" s="61" t="s">
        <v>160</v>
      </c>
      <c r="E133" s="61">
        <v>3</v>
      </c>
      <c r="F133" s="136" t="e">
        <f>'Z_EU Marinas_Scenario_Calc'!S64</f>
        <v>#DIV/0!</v>
      </c>
      <c r="G133" s="136" t="e">
        <f>'Z_EU Marinas_Scenario_Calc'!T64</f>
        <v>#DIV/0!</v>
      </c>
      <c r="H133" s="136" t="e">
        <f>'Z_EU Marinas_Scenario_Calc'!U64</f>
        <v>#DIV/0!</v>
      </c>
      <c r="I133" s="136" t="e">
        <f>'Z_EU Marinas_Scenario_Calc'!V64</f>
        <v>#DIV/0!</v>
      </c>
      <c r="O133" s="64"/>
    </row>
    <row r="134" spans="1:15" x14ac:dyDescent="0.2">
      <c r="A134" s="64"/>
      <c r="C134" s="61" t="s">
        <v>163</v>
      </c>
      <c r="D134" s="61" t="s">
        <v>160</v>
      </c>
      <c r="E134" s="61">
        <v>4</v>
      </c>
      <c r="F134" s="136" t="e">
        <f>'Z_EU Marinas_Scenario_Calc'!S65</f>
        <v>#DIV/0!</v>
      </c>
      <c r="G134" s="136" t="e">
        <f>'Z_EU Marinas_Scenario_Calc'!T65</f>
        <v>#DIV/0!</v>
      </c>
      <c r="H134" s="136" t="e">
        <f>'Z_EU Marinas_Scenario_Calc'!U65</f>
        <v>#DIV/0!</v>
      </c>
      <c r="I134" s="136" t="e">
        <f>'Z_EU Marinas_Scenario_Calc'!V65</f>
        <v>#DIV/0!</v>
      </c>
      <c r="O134" s="64"/>
    </row>
    <row r="135" spans="1:15" x14ac:dyDescent="0.2">
      <c r="A135" s="64"/>
      <c r="C135" s="61" t="s">
        <v>164</v>
      </c>
      <c r="D135" s="61" t="s">
        <v>160</v>
      </c>
      <c r="E135" s="61">
        <v>5</v>
      </c>
      <c r="F135" s="136" t="e">
        <f>'Z_EU Marinas_Scenario_Calc'!S66</f>
        <v>#DIV/0!</v>
      </c>
      <c r="G135" s="136" t="e">
        <f>'Z_EU Marinas_Scenario_Calc'!T66</f>
        <v>#DIV/0!</v>
      </c>
      <c r="H135" s="136" t="e">
        <f>'Z_EU Marinas_Scenario_Calc'!U66</f>
        <v>#DIV/0!</v>
      </c>
      <c r="I135" s="136" t="e">
        <f>'Z_EU Marinas_Scenario_Calc'!V66</f>
        <v>#DIV/0!</v>
      </c>
      <c r="O135" s="64"/>
    </row>
    <row r="136" spans="1:15" x14ac:dyDescent="0.2">
      <c r="A136" s="64"/>
      <c r="C136" s="180" t="s">
        <v>172</v>
      </c>
      <c r="D136" s="180"/>
      <c r="E136" s="180"/>
      <c r="F136" s="136" t="e">
        <f>'Z_Regulatory_ Marinas_Calc'!Q21</f>
        <v>#DIV/0!</v>
      </c>
      <c r="G136" s="136" t="e">
        <f>'Z_Regulatory_ Marinas_Calc'!R21</f>
        <v>#DIV/0!</v>
      </c>
      <c r="H136" s="136" t="e">
        <f>'Z_Regulatory_ Marinas_Calc'!S21</f>
        <v>#DIV/0!</v>
      </c>
      <c r="I136" s="136" t="e">
        <f>'Z_Regulatory_ Marinas_Calc'!T21</f>
        <v>#DIV/0!</v>
      </c>
      <c r="O136" s="64"/>
    </row>
    <row r="137" spans="1:15" x14ac:dyDescent="0.2">
      <c r="A137" s="64"/>
      <c r="C137" s="180" t="s">
        <v>173</v>
      </c>
      <c r="D137" s="180"/>
      <c r="E137" s="180"/>
      <c r="F137" s="136" t="e">
        <f>'Z_Regulatory_ Marinas_Calc'!Q22</f>
        <v>#DIV/0!</v>
      </c>
      <c r="G137" s="136" t="e">
        <f>'Z_Regulatory_ Marinas_Calc'!R22</f>
        <v>#DIV/0!</v>
      </c>
      <c r="H137" s="136" t="e">
        <f>'Z_Regulatory_ Marinas_Calc'!S22</f>
        <v>#DIV/0!</v>
      </c>
      <c r="I137" s="136" t="e">
        <f>'Z_Regulatory_ Marinas_Calc'!T22</f>
        <v>#DIV/0!</v>
      </c>
      <c r="O137" s="64"/>
    </row>
    <row r="138" spans="1:15" x14ac:dyDescent="0.2">
      <c r="A138" s="64"/>
      <c r="B138" s="91"/>
      <c r="O138" s="64"/>
    </row>
    <row r="139" spans="1:15" x14ac:dyDescent="0.2">
      <c r="A139" s="64"/>
      <c r="B139" s="64"/>
      <c r="C139" s="64"/>
      <c r="D139" s="64"/>
      <c r="E139" s="64"/>
      <c r="F139" s="64"/>
      <c r="G139" s="64"/>
      <c r="H139" s="64"/>
      <c r="I139" s="64"/>
      <c r="J139" s="64"/>
      <c r="K139" s="64"/>
      <c r="L139" s="64"/>
      <c r="M139" s="64"/>
      <c r="N139" s="64"/>
      <c r="O139" s="64"/>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137:E137"/>
    <mergeCell ref="C19:F19"/>
    <mergeCell ref="C21:G21"/>
    <mergeCell ref="C28:E28"/>
    <mergeCell ref="C29:E29"/>
    <mergeCell ref="C30:E30"/>
    <mergeCell ref="C31:E31"/>
    <mergeCell ref="D37:E37"/>
    <mergeCell ref="C84:E84"/>
    <mergeCell ref="C85:E85"/>
    <mergeCell ref="D89:E89"/>
    <mergeCell ref="C136:E136"/>
    <mergeCell ref="C18:F18"/>
    <mergeCell ref="C9:G9"/>
    <mergeCell ref="C11:G11"/>
    <mergeCell ref="C15:G15"/>
    <mergeCell ref="C16:F16"/>
    <mergeCell ref="C17:F17"/>
  </mergeCells>
  <conditionalFormatting sqref="F90:I137">
    <cfRule type="cellIs" dxfId="19" priority="1" operator="greaterThan">
      <formula>1</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85" zoomScaleNormal="85" workbookViewId="0"/>
  </sheetViews>
  <sheetFormatPr defaultColWidth="0" defaultRowHeight="12.75" zeroHeight="1" x14ac:dyDescent="0.2"/>
  <cols>
    <col min="1" max="2" width="3.125" style="3" customWidth="1"/>
    <col min="3" max="3" width="23.75" style="91" customWidth="1"/>
    <col min="4" max="4" width="3.625" style="91" customWidth="1"/>
    <col min="5" max="5" width="4.625" style="91" customWidth="1"/>
    <col min="6" max="10" width="16.625" style="91" customWidth="1"/>
    <col min="11" max="11" width="16.625" style="3" customWidth="1"/>
    <col min="12" max="13" width="16.625" style="91" customWidth="1"/>
    <col min="14" max="14" width="3.125" style="91" customWidth="1"/>
    <col min="15" max="15" width="3" style="91" customWidth="1"/>
    <col min="16" max="16" width="12.75" style="91" hidden="1" customWidth="1"/>
    <col min="17" max="17" width="12.25" style="91" hidden="1" customWidth="1"/>
    <col min="18" max="18" width="12.5" style="91" hidden="1" customWidth="1"/>
    <col min="19" max="19" width="12.25" style="91" hidden="1" customWidth="1"/>
    <col min="20" max="26" width="0" style="91" hidden="1" customWidth="1"/>
    <col min="27" max="16384" width="9" style="91"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5" t="str">
        <f>Tooltype</f>
        <v>Freshwater calculator tool</v>
      </c>
      <c r="L4" s="3"/>
      <c r="O4" s="64"/>
    </row>
    <row r="5" spans="1:15" x14ac:dyDescent="0.2">
      <c r="A5" s="64"/>
      <c r="L5" s="3"/>
      <c r="O5" s="64"/>
    </row>
    <row r="6" spans="1:15" x14ac:dyDescent="0.2">
      <c r="A6" s="64"/>
      <c r="C6" s="59" t="s">
        <v>235</v>
      </c>
      <c r="D6" s="91" t="str">
        <f>D_Compound_Name</f>
        <v>DIDT</v>
      </c>
      <c r="L6" s="3"/>
      <c r="O6" s="64"/>
    </row>
    <row r="7" spans="1:15" x14ac:dyDescent="0.2">
      <c r="A7" s="64"/>
      <c r="C7" s="59" t="s">
        <v>80</v>
      </c>
      <c r="D7" s="91" t="str">
        <f>Version</f>
        <v>Version Final 1.1</v>
      </c>
      <c r="L7" s="3"/>
      <c r="O7" s="64"/>
    </row>
    <row r="8" spans="1:15" x14ac:dyDescent="0.2">
      <c r="A8" s="64"/>
      <c r="L8" s="3"/>
      <c r="O8" s="64"/>
    </row>
    <row r="9" spans="1:15" x14ac:dyDescent="0.2">
      <c r="A9" s="64"/>
      <c r="C9" s="173" t="s">
        <v>16</v>
      </c>
      <c r="D9" s="173"/>
      <c r="E9" s="173"/>
      <c r="F9" s="173"/>
      <c r="G9" s="173"/>
      <c r="L9" s="3"/>
      <c r="O9" s="64"/>
    </row>
    <row r="10" spans="1:15" x14ac:dyDescent="0.2">
      <c r="A10" s="64"/>
      <c r="C10" s="60"/>
      <c r="L10" s="3"/>
      <c r="O10" s="64"/>
    </row>
    <row r="11" spans="1:15" x14ac:dyDescent="0.2">
      <c r="A11" s="64"/>
      <c r="C11" s="172" t="s">
        <v>90</v>
      </c>
      <c r="D11" s="172"/>
      <c r="E11" s="172"/>
      <c r="F11" s="172"/>
      <c r="G11" s="172"/>
      <c r="L11" s="3"/>
      <c r="O11" s="64"/>
    </row>
    <row r="12" spans="1:15" x14ac:dyDescent="0.2">
      <c r="A12" s="64"/>
      <c r="C12" s="91" t="s">
        <v>67</v>
      </c>
      <c r="F12" s="91">
        <f>Application_Factor</f>
        <v>0.9</v>
      </c>
      <c r="L12" s="3"/>
      <c r="O12" s="64"/>
    </row>
    <row r="13" spans="1:15" x14ac:dyDescent="0.2">
      <c r="A13" s="64"/>
      <c r="C13" s="91" t="s">
        <v>89</v>
      </c>
      <c r="F13" s="152" t="e">
        <f>IF(ISBLANK(D_Average_biocide_release_over_the_lifetime_of_the_paint_M),D_User_Input!I30,D_Average_biocide_release_over_the_lifetime_of_the_paint_M)</f>
        <v>#DIV/0!</v>
      </c>
      <c r="L13" s="3"/>
      <c r="O13" s="64"/>
    </row>
    <row r="14" spans="1:15" x14ac:dyDescent="0.2">
      <c r="A14" s="64"/>
      <c r="L14" s="3"/>
      <c r="O14" s="64"/>
    </row>
    <row r="15" spans="1:15" x14ac:dyDescent="0.2">
      <c r="A15" s="64"/>
      <c r="C15" s="172" t="s">
        <v>58</v>
      </c>
      <c r="D15" s="172"/>
      <c r="E15" s="172"/>
      <c r="F15" s="172"/>
      <c r="G15" s="172"/>
      <c r="L15" s="3"/>
      <c r="O15" s="64"/>
    </row>
    <row r="16" spans="1:15" x14ac:dyDescent="0.2">
      <c r="A16" s="64"/>
      <c r="C16" s="174" t="s">
        <v>181</v>
      </c>
      <c r="D16" s="174"/>
      <c r="E16" s="174"/>
      <c r="F16" s="174"/>
      <c r="G16" s="153">
        <f>D_PNEC_Aquatic_Inside</f>
        <v>0.18</v>
      </c>
      <c r="L16" s="3"/>
      <c r="O16" s="64"/>
    </row>
    <row r="17" spans="1:23" x14ac:dyDescent="0.2">
      <c r="A17" s="64"/>
      <c r="C17" s="174" t="s">
        <v>180</v>
      </c>
      <c r="D17" s="174"/>
      <c r="E17" s="174"/>
      <c r="F17" s="174"/>
      <c r="G17" s="153">
        <f>D_PNEC_Sediment_Inside</f>
        <v>1.3699999999999999E-3</v>
      </c>
      <c r="L17" s="3"/>
      <c r="O17" s="64"/>
    </row>
    <row r="18" spans="1:23" x14ac:dyDescent="0.2">
      <c r="A18" s="64"/>
      <c r="C18" s="174" t="s">
        <v>179</v>
      </c>
      <c r="D18" s="174"/>
      <c r="E18" s="174"/>
      <c r="F18" s="174"/>
      <c r="G18" s="153">
        <f>D_PNEC_Aquatic_Surrounding</f>
        <v>0.18</v>
      </c>
      <c r="L18" s="3"/>
      <c r="O18" s="64"/>
    </row>
    <row r="19" spans="1:23" x14ac:dyDescent="0.2">
      <c r="A19" s="64"/>
      <c r="C19" s="174" t="s">
        <v>178</v>
      </c>
      <c r="D19" s="174"/>
      <c r="E19" s="174"/>
      <c r="F19" s="174"/>
      <c r="G19" s="153">
        <f>D_PNEC_Sediment_Surrounding</f>
        <v>1.3699999999999999E-3</v>
      </c>
      <c r="L19" s="3"/>
      <c r="O19" s="64"/>
    </row>
    <row r="20" spans="1:23" x14ac:dyDescent="0.2">
      <c r="A20" s="64"/>
      <c r="L20" s="3"/>
      <c r="O20" s="64"/>
    </row>
    <row r="21" spans="1:23" x14ac:dyDescent="0.2">
      <c r="A21" s="64"/>
      <c r="C21" s="172" t="s">
        <v>56</v>
      </c>
      <c r="D21" s="172"/>
      <c r="E21" s="172"/>
      <c r="F21" s="172"/>
      <c r="G21" s="172"/>
      <c r="L21" s="3"/>
      <c r="O21" s="64"/>
    </row>
    <row r="22" spans="1:23" ht="25.5" x14ac:dyDescent="0.2">
      <c r="A22" s="64"/>
      <c r="F22" s="133" t="s">
        <v>174</v>
      </c>
      <c r="G22" s="133" t="s">
        <v>175</v>
      </c>
      <c r="L22" s="3"/>
      <c r="O22" s="64"/>
    </row>
    <row r="23" spans="1:23" x14ac:dyDescent="0.2">
      <c r="A23" s="64"/>
      <c r="C23" s="91" t="s">
        <v>185</v>
      </c>
      <c r="F23" s="134">
        <f>D_Background_SW_Freshwater</f>
        <v>0</v>
      </c>
      <c r="G23" s="134">
        <f>D_Background_Sed_Freshwater</f>
        <v>0</v>
      </c>
      <c r="L23" s="3"/>
      <c r="O23" s="64"/>
    </row>
    <row r="24" spans="1:23" x14ac:dyDescent="0.2">
      <c r="A24" s="64"/>
      <c r="L24" s="3"/>
      <c r="O24" s="78"/>
      <c r="P24" s="70"/>
      <c r="Q24" s="70"/>
    </row>
    <row r="25" spans="1:23" x14ac:dyDescent="0.2">
      <c r="A25" s="64"/>
      <c r="L25" s="3"/>
      <c r="O25" s="78"/>
      <c r="P25" s="70"/>
      <c r="Q25" s="70"/>
    </row>
    <row r="26" spans="1:23" x14ac:dyDescent="0.2">
      <c r="A26" s="64"/>
      <c r="C26" s="60" t="s">
        <v>86</v>
      </c>
      <c r="L26" s="3"/>
      <c r="O26" s="78"/>
      <c r="P26" s="70"/>
      <c r="Q26" s="70"/>
    </row>
    <row r="27" spans="1:23" ht="12.75" customHeight="1" x14ac:dyDescent="0.2">
      <c r="A27" s="64"/>
      <c r="O27" s="78"/>
      <c r="P27" s="70"/>
      <c r="Q27" s="70"/>
    </row>
    <row r="28" spans="1:23" ht="80.099999999999994" customHeight="1" x14ac:dyDescent="0.2">
      <c r="A28" s="64"/>
      <c r="C28" s="175" t="s">
        <v>185</v>
      </c>
      <c r="D28" s="176"/>
      <c r="E28" s="177"/>
      <c r="F28" s="135" t="s">
        <v>218</v>
      </c>
      <c r="G28" s="135" t="s">
        <v>219</v>
      </c>
      <c r="H28" s="135" t="s">
        <v>220</v>
      </c>
      <c r="I28" s="135" t="s">
        <v>221</v>
      </c>
      <c r="J28" s="135" t="s">
        <v>60</v>
      </c>
      <c r="K28" s="135" t="s">
        <v>213</v>
      </c>
      <c r="L28" s="135" t="s">
        <v>214</v>
      </c>
      <c r="M28" s="135" t="s">
        <v>215</v>
      </c>
      <c r="N28" s="72"/>
      <c r="O28" s="79"/>
      <c r="P28" s="72"/>
      <c r="Q28" s="70"/>
      <c r="S28" s="70"/>
      <c r="T28" s="62"/>
      <c r="U28" s="62"/>
      <c r="V28" s="62"/>
      <c r="W28" s="62"/>
    </row>
    <row r="29" spans="1:23" x14ac:dyDescent="0.2">
      <c r="A29" s="64"/>
      <c r="C29" s="175" t="s">
        <v>85</v>
      </c>
      <c r="D29" s="176"/>
      <c r="E29" s="177"/>
      <c r="F29" s="136" t="e">
        <f>'D_Output_EU marinas'!F58</f>
        <v>#DIV/0!</v>
      </c>
      <c r="G29" s="136" t="e">
        <f>'D_Output_EU marinas'!G58</f>
        <v>#DIV/0!</v>
      </c>
      <c r="H29" s="136" t="e">
        <f>'D_Output_EU marinas'!H58</f>
        <v>#DIV/0!</v>
      </c>
      <c r="I29" s="136" t="e">
        <f>'D_Output_EU marinas'!I58</f>
        <v>#DIV/0!</v>
      </c>
      <c r="J29" s="136" t="e">
        <f>'D_Output_EU marinas'!J58</f>
        <v>#DIV/0!</v>
      </c>
      <c r="K29" s="136" t="e">
        <f>'D_Output_EU marinas'!K58</f>
        <v>#DIV/0!</v>
      </c>
      <c r="L29" s="136" t="e">
        <f>'D_Output_EU marinas'!L58</f>
        <v>#DIV/0!</v>
      </c>
      <c r="M29" s="136" t="e">
        <f>'D_Output_EU marinas'!M58</f>
        <v>#DIV/0!</v>
      </c>
      <c r="N29" s="70"/>
      <c r="O29" s="78"/>
      <c r="P29" s="70"/>
      <c r="Q29" s="70"/>
      <c r="R29" s="70"/>
      <c r="S29" s="70"/>
    </row>
    <row r="30" spans="1:23" ht="12.75" customHeight="1" x14ac:dyDescent="0.2">
      <c r="A30" s="64"/>
      <c r="C30" s="175" t="s">
        <v>14</v>
      </c>
      <c r="D30" s="176"/>
      <c r="E30" s="177"/>
      <c r="F30" s="136" t="e">
        <f>'D_Output_EU marinas'!F59</f>
        <v>#DIV/0!</v>
      </c>
      <c r="G30" s="136" t="e">
        <f>'D_Output_EU marinas'!G59</f>
        <v>#DIV/0!</v>
      </c>
      <c r="H30" s="136" t="e">
        <f>'D_Output_EU marinas'!H59</f>
        <v>#DIV/0!</v>
      </c>
      <c r="I30" s="136" t="e">
        <f>'D_Output_EU marinas'!I59</f>
        <v>#DIV/0!</v>
      </c>
      <c r="J30" s="136" t="e">
        <f>'D_Output_EU marinas'!J59</f>
        <v>#DIV/0!</v>
      </c>
      <c r="K30" s="136" t="e">
        <f>'D_Output_EU marinas'!K59</f>
        <v>#DIV/0!</v>
      </c>
      <c r="L30" s="136" t="e">
        <f>'D_Output_EU marinas'!L59</f>
        <v>#DIV/0!</v>
      </c>
      <c r="M30" s="136" t="e">
        <f>'D_Output_EU marinas'!M59</f>
        <v>#DIV/0!</v>
      </c>
      <c r="O30" s="64"/>
    </row>
    <row r="31" spans="1:23" x14ac:dyDescent="0.2">
      <c r="A31" s="64"/>
      <c r="C31" s="175" t="s">
        <v>15</v>
      </c>
      <c r="D31" s="176"/>
      <c r="E31" s="177"/>
      <c r="F31" s="136" t="e">
        <f>'D_Output_EU marinas'!F60</f>
        <v>#DIV/0!</v>
      </c>
      <c r="G31" s="136" t="e">
        <f>'D_Output_EU marinas'!G60</f>
        <v>#DIV/0!</v>
      </c>
      <c r="H31" s="136" t="e">
        <f>'D_Output_EU marinas'!H60</f>
        <v>#DIV/0!</v>
      </c>
      <c r="I31" s="136" t="e">
        <f>'D_Output_EU marinas'!I60</f>
        <v>#DIV/0!</v>
      </c>
      <c r="J31" s="136" t="e">
        <f>'D_Output_EU marinas'!J60</f>
        <v>#DIV/0!</v>
      </c>
      <c r="K31" s="136" t="e">
        <f>'D_Output_EU marinas'!K60</f>
        <v>#DIV/0!</v>
      </c>
      <c r="L31" s="136" t="e">
        <f>'D_Output_EU marinas'!L60</f>
        <v>#DIV/0!</v>
      </c>
      <c r="M31" s="136" t="e">
        <f>'D_Output_EU marinas'!M60</f>
        <v>#DIV/0!</v>
      </c>
      <c r="O31" s="64"/>
    </row>
    <row r="32" spans="1:23" x14ac:dyDescent="0.2">
      <c r="A32" s="64"/>
      <c r="C32" s="70"/>
      <c r="D32" s="70"/>
      <c r="E32" s="70"/>
      <c r="F32" s="70"/>
      <c r="G32" s="70"/>
      <c r="H32" s="70"/>
      <c r="I32" s="70"/>
      <c r="O32" s="64"/>
    </row>
    <row r="33" spans="1:26" x14ac:dyDescent="0.2">
      <c r="A33" s="64"/>
      <c r="B33" s="64"/>
      <c r="C33" s="65"/>
      <c r="D33" s="64"/>
      <c r="E33" s="64"/>
      <c r="F33" s="64"/>
      <c r="G33" s="64"/>
      <c r="H33" s="64"/>
      <c r="I33" s="64"/>
      <c r="J33" s="64"/>
      <c r="K33" s="64"/>
      <c r="L33" s="64"/>
      <c r="M33" s="64"/>
      <c r="N33" s="64"/>
      <c r="O33" s="64"/>
      <c r="Q33" s="71"/>
      <c r="R33" s="71"/>
      <c r="S33" s="70"/>
      <c r="T33" s="70"/>
      <c r="U33" s="70"/>
      <c r="V33" s="70"/>
      <c r="W33" s="70"/>
      <c r="X33" s="70"/>
      <c r="Y33" s="15"/>
      <c r="Z33" s="3"/>
    </row>
    <row r="34" spans="1:26" x14ac:dyDescent="0.2">
      <c r="A34" s="64"/>
      <c r="C34" s="60" t="s">
        <v>87</v>
      </c>
      <c r="O34" s="64"/>
    </row>
    <row r="35" spans="1:26" x14ac:dyDescent="0.2">
      <c r="A35" s="64"/>
      <c r="B35" s="91"/>
      <c r="O35" s="64"/>
    </row>
    <row r="36" spans="1:26" x14ac:dyDescent="0.2">
      <c r="A36" s="64"/>
      <c r="C36" s="80" t="s">
        <v>81</v>
      </c>
      <c r="D36" s="113"/>
      <c r="E36" s="113"/>
      <c r="F36" s="113"/>
      <c r="G36" s="113"/>
      <c r="H36" s="113"/>
      <c r="O36" s="64"/>
    </row>
    <row r="37" spans="1:26" ht="105.95" customHeight="1" x14ac:dyDescent="0.2">
      <c r="A37" s="64"/>
      <c r="B37" s="91"/>
      <c r="C37" s="61" t="s">
        <v>9</v>
      </c>
      <c r="D37" s="178" t="s">
        <v>10</v>
      </c>
      <c r="E37" s="179"/>
      <c r="F37" s="135" t="s">
        <v>218</v>
      </c>
      <c r="G37" s="135" t="s">
        <v>219</v>
      </c>
      <c r="H37" s="135" t="s">
        <v>220</v>
      </c>
      <c r="I37" s="135" t="s">
        <v>221</v>
      </c>
      <c r="O37" s="64"/>
    </row>
    <row r="38" spans="1:26" x14ac:dyDescent="0.2">
      <c r="A38" s="64"/>
      <c r="C38" s="138" t="s">
        <v>106</v>
      </c>
      <c r="D38" s="138" t="s">
        <v>107</v>
      </c>
      <c r="E38" s="138">
        <v>1</v>
      </c>
      <c r="F38" s="136" t="e">
        <f>'D_EU Marinas_Scenario_Calc'!K21</f>
        <v>#DIV/0!</v>
      </c>
      <c r="G38" s="136" t="e">
        <f>'D_EU Marinas_Scenario_Calc'!L21</f>
        <v>#DIV/0!</v>
      </c>
      <c r="H38" s="136" t="e">
        <f>'D_EU Marinas_Scenario_Calc'!M21</f>
        <v>#DIV/0!</v>
      </c>
      <c r="I38" s="136" t="e">
        <f>'D_EU Marinas_Scenario_Calc'!N21</f>
        <v>#DIV/0!</v>
      </c>
      <c r="O38" s="64"/>
    </row>
    <row r="39" spans="1:26" x14ac:dyDescent="0.2">
      <c r="A39" s="64"/>
      <c r="C39" s="138" t="s">
        <v>108</v>
      </c>
      <c r="D39" s="138" t="s">
        <v>107</v>
      </c>
      <c r="E39" s="138">
        <v>2</v>
      </c>
      <c r="F39" s="136" t="e">
        <f>'D_EU Marinas_Scenario_Calc'!K22</f>
        <v>#DIV/0!</v>
      </c>
      <c r="G39" s="136" t="e">
        <f>'D_EU Marinas_Scenario_Calc'!L22</f>
        <v>#DIV/0!</v>
      </c>
      <c r="H39" s="136" t="e">
        <f>'D_EU Marinas_Scenario_Calc'!M22</f>
        <v>#DIV/0!</v>
      </c>
      <c r="I39" s="136" t="e">
        <f>'D_EU Marinas_Scenario_Calc'!N22</f>
        <v>#DIV/0!</v>
      </c>
      <c r="O39" s="64"/>
    </row>
    <row r="40" spans="1:26" x14ac:dyDescent="0.2">
      <c r="A40" s="64"/>
      <c r="C40" s="138" t="s">
        <v>109</v>
      </c>
      <c r="D40" s="138" t="s">
        <v>107</v>
      </c>
      <c r="E40" s="138">
        <v>3</v>
      </c>
      <c r="F40" s="136" t="e">
        <f>'D_EU Marinas_Scenario_Calc'!K23</f>
        <v>#DIV/0!</v>
      </c>
      <c r="G40" s="136" t="e">
        <f>'D_EU Marinas_Scenario_Calc'!L23</f>
        <v>#DIV/0!</v>
      </c>
      <c r="H40" s="136" t="e">
        <f>'D_EU Marinas_Scenario_Calc'!M23</f>
        <v>#DIV/0!</v>
      </c>
      <c r="I40" s="136" t="e">
        <f>'D_EU Marinas_Scenario_Calc'!N23</f>
        <v>#DIV/0!</v>
      </c>
      <c r="O40" s="64"/>
    </row>
    <row r="41" spans="1:26" x14ac:dyDescent="0.2">
      <c r="A41" s="64"/>
      <c r="C41" s="138" t="s">
        <v>110</v>
      </c>
      <c r="D41" s="138" t="s">
        <v>107</v>
      </c>
      <c r="E41" s="138">
        <v>4</v>
      </c>
      <c r="F41" s="136" t="e">
        <f>'D_EU Marinas_Scenario_Calc'!K24</f>
        <v>#DIV/0!</v>
      </c>
      <c r="G41" s="136" t="e">
        <f>'D_EU Marinas_Scenario_Calc'!L24</f>
        <v>#DIV/0!</v>
      </c>
      <c r="H41" s="136" t="e">
        <f>'D_EU Marinas_Scenario_Calc'!M24</f>
        <v>#DIV/0!</v>
      </c>
      <c r="I41" s="136" t="e">
        <f>'D_EU Marinas_Scenario_Calc'!N24</f>
        <v>#DIV/0!</v>
      </c>
      <c r="O41" s="64"/>
    </row>
    <row r="42" spans="1:26" x14ac:dyDescent="0.2">
      <c r="A42" s="64"/>
      <c r="C42" s="138" t="s">
        <v>111</v>
      </c>
      <c r="D42" s="138" t="s">
        <v>107</v>
      </c>
      <c r="E42" s="138">
        <v>5</v>
      </c>
      <c r="F42" s="136" t="e">
        <f>'D_EU Marinas_Scenario_Calc'!K25</f>
        <v>#DIV/0!</v>
      </c>
      <c r="G42" s="136" t="e">
        <f>'D_EU Marinas_Scenario_Calc'!L25</f>
        <v>#DIV/0!</v>
      </c>
      <c r="H42" s="136" t="e">
        <f>'D_EU Marinas_Scenario_Calc'!M25</f>
        <v>#DIV/0!</v>
      </c>
      <c r="I42" s="136" t="e">
        <f>'D_EU Marinas_Scenario_Calc'!N25</f>
        <v>#DIV/0!</v>
      </c>
      <c r="O42" s="64"/>
    </row>
    <row r="43" spans="1:26" x14ac:dyDescent="0.2">
      <c r="A43" s="64"/>
      <c r="C43" s="138" t="s">
        <v>112</v>
      </c>
      <c r="D43" s="138" t="s">
        <v>107</v>
      </c>
      <c r="E43" s="138">
        <v>6</v>
      </c>
      <c r="F43" s="136" t="e">
        <f>'D_EU Marinas_Scenario_Calc'!K26</f>
        <v>#DIV/0!</v>
      </c>
      <c r="G43" s="136" t="e">
        <f>'D_EU Marinas_Scenario_Calc'!L26</f>
        <v>#DIV/0!</v>
      </c>
      <c r="H43" s="136" t="e">
        <f>'D_EU Marinas_Scenario_Calc'!M26</f>
        <v>#DIV/0!</v>
      </c>
      <c r="I43" s="136" t="e">
        <f>'D_EU Marinas_Scenario_Calc'!N26</f>
        <v>#DIV/0!</v>
      </c>
      <c r="O43" s="64"/>
    </row>
    <row r="44" spans="1:26" x14ac:dyDescent="0.2">
      <c r="A44" s="64"/>
      <c r="C44" s="138" t="s">
        <v>113</v>
      </c>
      <c r="D44" s="138" t="s">
        <v>107</v>
      </c>
      <c r="E44" s="138">
        <v>7</v>
      </c>
      <c r="F44" s="136" t="e">
        <f>'D_EU Marinas_Scenario_Calc'!K27</f>
        <v>#DIV/0!</v>
      </c>
      <c r="G44" s="136" t="e">
        <f>'D_EU Marinas_Scenario_Calc'!L27</f>
        <v>#DIV/0!</v>
      </c>
      <c r="H44" s="136" t="e">
        <f>'D_EU Marinas_Scenario_Calc'!M27</f>
        <v>#DIV/0!</v>
      </c>
      <c r="I44" s="136" t="e">
        <f>'D_EU Marinas_Scenario_Calc'!N27</f>
        <v>#DIV/0!</v>
      </c>
      <c r="O44" s="64"/>
    </row>
    <row r="45" spans="1:26" x14ac:dyDescent="0.2">
      <c r="A45" s="64"/>
      <c r="C45" s="138" t="s">
        <v>114</v>
      </c>
      <c r="D45" s="138" t="s">
        <v>115</v>
      </c>
      <c r="E45" s="138">
        <v>2</v>
      </c>
      <c r="F45" s="136" t="e">
        <f>'D_EU Marinas_Scenario_Calc'!K28</f>
        <v>#DIV/0!</v>
      </c>
      <c r="G45" s="136" t="e">
        <f>'D_EU Marinas_Scenario_Calc'!L28</f>
        <v>#DIV/0!</v>
      </c>
      <c r="H45" s="136" t="e">
        <f>'D_EU Marinas_Scenario_Calc'!M28</f>
        <v>#DIV/0!</v>
      </c>
      <c r="I45" s="136" t="e">
        <f>'D_EU Marinas_Scenario_Calc'!N28</f>
        <v>#DIV/0!</v>
      </c>
      <c r="O45" s="64"/>
    </row>
    <row r="46" spans="1:26" x14ac:dyDescent="0.2">
      <c r="A46" s="64"/>
      <c r="C46" s="138" t="s">
        <v>116</v>
      </c>
      <c r="D46" s="138" t="s">
        <v>115</v>
      </c>
      <c r="E46" s="138">
        <v>3</v>
      </c>
      <c r="F46" s="136" t="e">
        <f>'D_EU Marinas_Scenario_Calc'!K29</f>
        <v>#DIV/0!</v>
      </c>
      <c r="G46" s="136" t="e">
        <f>'D_EU Marinas_Scenario_Calc'!L29</f>
        <v>#DIV/0!</v>
      </c>
      <c r="H46" s="136" t="e">
        <f>'D_EU Marinas_Scenario_Calc'!M29</f>
        <v>#DIV/0!</v>
      </c>
      <c r="I46" s="136" t="e">
        <f>'D_EU Marinas_Scenario_Calc'!N29</f>
        <v>#DIV/0!</v>
      </c>
      <c r="O46" s="64"/>
    </row>
    <row r="47" spans="1:26" x14ac:dyDescent="0.2">
      <c r="A47" s="64"/>
      <c r="C47" s="138" t="s">
        <v>117</v>
      </c>
      <c r="D47" s="138" t="s">
        <v>115</v>
      </c>
      <c r="E47" s="138">
        <v>5</v>
      </c>
      <c r="F47" s="136" t="e">
        <f>'D_EU Marinas_Scenario_Calc'!K30</f>
        <v>#DIV/0!</v>
      </c>
      <c r="G47" s="136" t="e">
        <f>'D_EU Marinas_Scenario_Calc'!L30</f>
        <v>#DIV/0!</v>
      </c>
      <c r="H47" s="136" t="e">
        <f>'D_EU Marinas_Scenario_Calc'!M30</f>
        <v>#DIV/0!</v>
      </c>
      <c r="I47" s="136" t="e">
        <f>'D_EU Marinas_Scenario_Calc'!N30</f>
        <v>#DIV/0!</v>
      </c>
      <c r="O47" s="64"/>
    </row>
    <row r="48" spans="1:26" x14ac:dyDescent="0.2">
      <c r="A48" s="64"/>
      <c r="C48" s="138" t="s">
        <v>118</v>
      </c>
      <c r="D48" s="138" t="s">
        <v>115</v>
      </c>
      <c r="E48" s="138">
        <v>6</v>
      </c>
      <c r="F48" s="136" t="e">
        <f>'D_EU Marinas_Scenario_Calc'!K31</f>
        <v>#DIV/0!</v>
      </c>
      <c r="G48" s="136" t="e">
        <f>'D_EU Marinas_Scenario_Calc'!L31</f>
        <v>#DIV/0!</v>
      </c>
      <c r="H48" s="136" t="e">
        <f>'D_EU Marinas_Scenario_Calc'!M31</f>
        <v>#DIV/0!</v>
      </c>
      <c r="I48" s="136" t="e">
        <f>'D_EU Marinas_Scenario_Calc'!N31</f>
        <v>#DIV/0!</v>
      </c>
      <c r="O48" s="64"/>
    </row>
    <row r="49" spans="1:15" x14ac:dyDescent="0.2">
      <c r="A49" s="64"/>
      <c r="C49" s="138" t="s">
        <v>119</v>
      </c>
      <c r="D49" s="138" t="s">
        <v>115</v>
      </c>
      <c r="E49" s="138">
        <v>11</v>
      </c>
      <c r="F49" s="136" t="e">
        <f>'D_EU Marinas_Scenario_Calc'!K32</f>
        <v>#DIV/0!</v>
      </c>
      <c r="G49" s="136" t="e">
        <f>'D_EU Marinas_Scenario_Calc'!L32</f>
        <v>#DIV/0!</v>
      </c>
      <c r="H49" s="136" t="e">
        <f>'D_EU Marinas_Scenario_Calc'!M32</f>
        <v>#DIV/0!</v>
      </c>
      <c r="I49" s="136" t="e">
        <f>'D_EU Marinas_Scenario_Calc'!N32</f>
        <v>#DIV/0!</v>
      </c>
      <c r="O49" s="64"/>
    </row>
    <row r="50" spans="1:15" x14ac:dyDescent="0.2">
      <c r="A50" s="64"/>
      <c r="C50" s="138" t="s">
        <v>120</v>
      </c>
      <c r="D50" s="138" t="s">
        <v>115</v>
      </c>
      <c r="E50" s="138">
        <v>12</v>
      </c>
      <c r="F50" s="136" t="e">
        <f>'D_EU Marinas_Scenario_Calc'!K33</f>
        <v>#DIV/0!</v>
      </c>
      <c r="G50" s="136" t="e">
        <f>'D_EU Marinas_Scenario_Calc'!L33</f>
        <v>#DIV/0!</v>
      </c>
      <c r="H50" s="136" t="e">
        <f>'D_EU Marinas_Scenario_Calc'!M33</f>
        <v>#DIV/0!</v>
      </c>
      <c r="I50" s="136" t="e">
        <f>'D_EU Marinas_Scenario_Calc'!N33</f>
        <v>#DIV/0!</v>
      </c>
      <c r="O50" s="64"/>
    </row>
    <row r="51" spans="1:15" x14ac:dyDescent="0.2">
      <c r="A51" s="64"/>
      <c r="C51" s="138" t="s">
        <v>121</v>
      </c>
      <c r="D51" s="138" t="s">
        <v>12</v>
      </c>
      <c r="E51" s="138" t="s">
        <v>122</v>
      </c>
      <c r="F51" s="136" t="e">
        <f>'D_EU Marinas_Scenario_Calc'!K34</f>
        <v>#DIV/0!</v>
      </c>
      <c r="G51" s="136" t="e">
        <f>'D_EU Marinas_Scenario_Calc'!L34</f>
        <v>#DIV/0!</v>
      </c>
      <c r="H51" s="136" t="e">
        <f>'D_EU Marinas_Scenario_Calc'!M34</f>
        <v>#DIV/0!</v>
      </c>
      <c r="I51" s="136" t="e">
        <f>'D_EU Marinas_Scenario_Calc'!N34</f>
        <v>#DIV/0!</v>
      </c>
      <c r="O51" s="64"/>
    </row>
    <row r="52" spans="1:15" x14ac:dyDescent="0.2">
      <c r="A52" s="64"/>
      <c r="C52" s="138" t="s">
        <v>123</v>
      </c>
      <c r="D52" s="138" t="s">
        <v>12</v>
      </c>
      <c r="E52" s="138" t="s">
        <v>124</v>
      </c>
      <c r="F52" s="136" t="e">
        <f>'D_EU Marinas_Scenario_Calc'!K35</f>
        <v>#DIV/0!</v>
      </c>
      <c r="G52" s="136" t="e">
        <f>'D_EU Marinas_Scenario_Calc'!L35</f>
        <v>#DIV/0!</v>
      </c>
      <c r="H52" s="136" t="e">
        <f>'D_EU Marinas_Scenario_Calc'!M35</f>
        <v>#DIV/0!</v>
      </c>
      <c r="I52" s="136" t="e">
        <f>'D_EU Marinas_Scenario_Calc'!N35</f>
        <v>#DIV/0!</v>
      </c>
      <c r="O52" s="64"/>
    </row>
    <row r="53" spans="1:15" x14ac:dyDescent="0.2">
      <c r="A53" s="64"/>
      <c r="C53" s="138" t="s">
        <v>125</v>
      </c>
      <c r="D53" s="138" t="s">
        <v>12</v>
      </c>
      <c r="E53" s="138" t="s">
        <v>126</v>
      </c>
      <c r="F53" s="136" t="e">
        <f>'D_EU Marinas_Scenario_Calc'!K36</f>
        <v>#DIV/0!</v>
      </c>
      <c r="G53" s="136" t="e">
        <f>'D_EU Marinas_Scenario_Calc'!L36</f>
        <v>#DIV/0!</v>
      </c>
      <c r="H53" s="136" t="e">
        <f>'D_EU Marinas_Scenario_Calc'!M36</f>
        <v>#DIV/0!</v>
      </c>
      <c r="I53" s="136" t="e">
        <f>'D_EU Marinas_Scenario_Calc'!N36</f>
        <v>#DIV/0!</v>
      </c>
      <c r="O53" s="64"/>
    </row>
    <row r="54" spans="1:15" x14ac:dyDescent="0.2">
      <c r="A54" s="64"/>
      <c r="C54" s="138" t="s">
        <v>127</v>
      </c>
      <c r="D54" s="138" t="s">
        <v>12</v>
      </c>
      <c r="E54" s="138" t="s">
        <v>128</v>
      </c>
      <c r="F54" s="136" t="e">
        <f>'D_EU Marinas_Scenario_Calc'!K37</f>
        <v>#DIV/0!</v>
      </c>
      <c r="G54" s="136" t="e">
        <f>'D_EU Marinas_Scenario_Calc'!L37</f>
        <v>#DIV/0!</v>
      </c>
      <c r="H54" s="136" t="e">
        <f>'D_EU Marinas_Scenario_Calc'!M37</f>
        <v>#DIV/0!</v>
      </c>
      <c r="I54" s="136" t="e">
        <f>'D_EU Marinas_Scenario_Calc'!N37</f>
        <v>#DIV/0!</v>
      </c>
      <c r="O54" s="64"/>
    </row>
    <row r="55" spans="1:15" x14ac:dyDescent="0.2">
      <c r="A55" s="64"/>
      <c r="C55" s="138" t="s">
        <v>129</v>
      </c>
      <c r="D55" s="138" t="s">
        <v>12</v>
      </c>
      <c r="E55" s="138" t="s">
        <v>130</v>
      </c>
      <c r="F55" s="136" t="e">
        <f>'D_EU Marinas_Scenario_Calc'!K38</f>
        <v>#DIV/0!</v>
      </c>
      <c r="G55" s="136" t="e">
        <f>'D_EU Marinas_Scenario_Calc'!L38</f>
        <v>#DIV/0!</v>
      </c>
      <c r="H55" s="136" t="e">
        <f>'D_EU Marinas_Scenario_Calc'!M38</f>
        <v>#DIV/0!</v>
      </c>
      <c r="I55" s="136" t="e">
        <f>'D_EU Marinas_Scenario_Calc'!N38</f>
        <v>#DIV/0!</v>
      </c>
      <c r="O55" s="64"/>
    </row>
    <row r="56" spans="1:15" x14ac:dyDescent="0.2">
      <c r="A56" s="64"/>
      <c r="C56" s="138" t="s">
        <v>131</v>
      </c>
      <c r="D56" s="138" t="s">
        <v>12</v>
      </c>
      <c r="E56" s="138" t="s">
        <v>132</v>
      </c>
      <c r="F56" s="136" t="e">
        <f>'D_EU Marinas_Scenario_Calc'!K39</f>
        <v>#DIV/0!</v>
      </c>
      <c r="G56" s="136" t="e">
        <f>'D_EU Marinas_Scenario_Calc'!L39</f>
        <v>#DIV/0!</v>
      </c>
      <c r="H56" s="136" t="e">
        <f>'D_EU Marinas_Scenario_Calc'!M39</f>
        <v>#DIV/0!</v>
      </c>
      <c r="I56" s="136" t="e">
        <f>'D_EU Marinas_Scenario_Calc'!N39</f>
        <v>#DIV/0!</v>
      </c>
      <c r="O56" s="64"/>
    </row>
    <row r="57" spans="1:15" x14ac:dyDescent="0.2">
      <c r="A57" s="64"/>
      <c r="C57" s="138" t="s">
        <v>133</v>
      </c>
      <c r="D57" s="138" t="s">
        <v>12</v>
      </c>
      <c r="E57" s="138" t="s">
        <v>134</v>
      </c>
      <c r="F57" s="136" t="e">
        <f>'D_EU Marinas_Scenario_Calc'!K40</f>
        <v>#DIV/0!</v>
      </c>
      <c r="G57" s="136" t="e">
        <f>'D_EU Marinas_Scenario_Calc'!L40</f>
        <v>#DIV/0!</v>
      </c>
      <c r="H57" s="136" t="e">
        <f>'D_EU Marinas_Scenario_Calc'!M40</f>
        <v>#DIV/0!</v>
      </c>
      <c r="I57" s="136" t="e">
        <f>'D_EU Marinas_Scenario_Calc'!N40</f>
        <v>#DIV/0!</v>
      </c>
      <c r="O57" s="64"/>
    </row>
    <row r="58" spans="1:15" x14ac:dyDescent="0.2">
      <c r="A58" s="64"/>
      <c r="C58" s="138" t="s">
        <v>135</v>
      </c>
      <c r="D58" s="138" t="s">
        <v>12</v>
      </c>
      <c r="E58" s="138" t="s">
        <v>136</v>
      </c>
      <c r="F58" s="136" t="e">
        <f>'D_EU Marinas_Scenario_Calc'!K41</f>
        <v>#DIV/0!</v>
      </c>
      <c r="G58" s="136" t="e">
        <f>'D_EU Marinas_Scenario_Calc'!L41</f>
        <v>#DIV/0!</v>
      </c>
      <c r="H58" s="136" t="e">
        <f>'D_EU Marinas_Scenario_Calc'!M41</f>
        <v>#DIV/0!</v>
      </c>
      <c r="I58" s="136" t="e">
        <f>'D_EU Marinas_Scenario_Calc'!N41</f>
        <v>#DIV/0!</v>
      </c>
      <c r="O58" s="64"/>
    </row>
    <row r="59" spans="1:15" x14ac:dyDescent="0.2">
      <c r="A59" s="64"/>
      <c r="C59" s="138" t="s">
        <v>137</v>
      </c>
      <c r="D59" s="138" t="s">
        <v>12</v>
      </c>
      <c r="E59" s="138" t="s">
        <v>138</v>
      </c>
      <c r="F59" s="136" t="e">
        <f>'D_EU Marinas_Scenario_Calc'!K42</f>
        <v>#DIV/0!</v>
      </c>
      <c r="G59" s="136" t="e">
        <f>'D_EU Marinas_Scenario_Calc'!L42</f>
        <v>#DIV/0!</v>
      </c>
      <c r="H59" s="136" t="e">
        <f>'D_EU Marinas_Scenario_Calc'!M42</f>
        <v>#DIV/0!</v>
      </c>
      <c r="I59" s="136" t="e">
        <f>'D_EU Marinas_Scenario_Calc'!N42</f>
        <v>#DIV/0!</v>
      </c>
      <c r="O59" s="64"/>
    </row>
    <row r="60" spans="1:15" x14ac:dyDescent="0.2">
      <c r="A60" s="64"/>
      <c r="C60" s="138" t="s">
        <v>139</v>
      </c>
      <c r="D60" s="138" t="s">
        <v>12</v>
      </c>
      <c r="E60" s="138" t="s">
        <v>140</v>
      </c>
      <c r="F60" s="136" t="e">
        <f>'D_EU Marinas_Scenario_Calc'!K43</f>
        <v>#DIV/0!</v>
      </c>
      <c r="G60" s="136" t="e">
        <f>'D_EU Marinas_Scenario_Calc'!L43</f>
        <v>#DIV/0!</v>
      </c>
      <c r="H60" s="136" t="e">
        <f>'D_EU Marinas_Scenario_Calc'!M43</f>
        <v>#DIV/0!</v>
      </c>
      <c r="I60" s="136" t="e">
        <f>'D_EU Marinas_Scenario_Calc'!N43</f>
        <v>#DIV/0!</v>
      </c>
      <c r="O60" s="64"/>
    </row>
    <row r="61" spans="1:15" x14ac:dyDescent="0.2">
      <c r="A61" s="64"/>
      <c r="C61" s="138" t="s">
        <v>141</v>
      </c>
      <c r="D61" s="138" t="s">
        <v>13</v>
      </c>
      <c r="E61" s="138">
        <v>1</v>
      </c>
      <c r="F61" s="136" t="e">
        <f>'D_EU Marinas_Scenario_Calc'!K44</f>
        <v>#DIV/0!</v>
      </c>
      <c r="G61" s="136" t="e">
        <f>'D_EU Marinas_Scenario_Calc'!L44</f>
        <v>#DIV/0!</v>
      </c>
      <c r="H61" s="136" t="e">
        <f>'D_EU Marinas_Scenario_Calc'!M44</f>
        <v>#DIV/0!</v>
      </c>
      <c r="I61" s="136" t="e">
        <f>'D_EU Marinas_Scenario_Calc'!N44</f>
        <v>#DIV/0!</v>
      </c>
      <c r="O61" s="64"/>
    </row>
    <row r="62" spans="1:15" x14ac:dyDescent="0.2">
      <c r="A62" s="64"/>
      <c r="C62" s="138" t="s">
        <v>142</v>
      </c>
      <c r="D62" s="138" t="s">
        <v>13</v>
      </c>
      <c r="E62" s="138">
        <v>3</v>
      </c>
      <c r="F62" s="136" t="e">
        <f>'D_EU Marinas_Scenario_Calc'!K45</f>
        <v>#DIV/0!</v>
      </c>
      <c r="G62" s="136" t="e">
        <f>'D_EU Marinas_Scenario_Calc'!L45</f>
        <v>#DIV/0!</v>
      </c>
      <c r="H62" s="136" t="e">
        <f>'D_EU Marinas_Scenario_Calc'!M45</f>
        <v>#DIV/0!</v>
      </c>
      <c r="I62" s="136" t="e">
        <f>'D_EU Marinas_Scenario_Calc'!N45</f>
        <v>#DIV/0!</v>
      </c>
      <c r="O62" s="64"/>
    </row>
    <row r="63" spans="1:15" x14ac:dyDescent="0.2">
      <c r="A63" s="64"/>
      <c r="C63" s="138" t="s">
        <v>143</v>
      </c>
      <c r="D63" s="138" t="s">
        <v>13</v>
      </c>
      <c r="E63" s="138">
        <v>4</v>
      </c>
      <c r="F63" s="136" t="e">
        <f>'D_EU Marinas_Scenario_Calc'!K46</f>
        <v>#DIV/0!</v>
      </c>
      <c r="G63" s="136" t="e">
        <f>'D_EU Marinas_Scenario_Calc'!L46</f>
        <v>#DIV/0!</v>
      </c>
      <c r="H63" s="136" t="e">
        <f>'D_EU Marinas_Scenario_Calc'!M46</f>
        <v>#DIV/0!</v>
      </c>
      <c r="I63" s="136" t="e">
        <f>'D_EU Marinas_Scenario_Calc'!N46</f>
        <v>#DIV/0!</v>
      </c>
      <c r="O63" s="64"/>
    </row>
    <row r="64" spans="1:15" x14ac:dyDescent="0.2">
      <c r="A64" s="64"/>
      <c r="C64" s="138" t="s">
        <v>144</v>
      </c>
      <c r="D64" s="138" t="s">
        <v>13</v>
      </c>
      <c r="E64" s="138">
        <v>6</v>
      </c>
      <c r="F64" s="136" t="e">
        <f>'D_EU Marinas_Scenario_Calc'!K47</f>
        <v>#DIV/0!</v>
      </c>
      <c r="G64" s="136" t="e">
        <f>'D_EU Marinas_Scenario_Calc'!L47</f>
        <v>#DIV/0!</v>
      </c>
      <c r="H64" s="136" t="e">
        <f>'D_EU Marinas_Scenario_Calc'!M47</f>
        <v>#DIV/0!</v>
      </c>
      <c r="I64" s="136" t="e">
        <f>'D_EU Marinas_Scenario_Calc'!N47</f>
        <v>#DIV/0!</v>
      </c>
      <c r="O64" s="64"/>
    </row>
    <row r="65" spans="1:15" x14ac:dyDescent="0.2">
      <c r="A65" s="64"/>
      <c r="C65" s="138" t="s">
        <v>145</v>
      </c>
      <c r="D65" s="138" t="s">
        <v>13</v>
      </c>
      <c r="E65" s="138">
        <v>7</v>
      </c>
      <c r="F65" s="136" t="e">
        <f>'D_EU Marinas_Scenario_Calc'!K48</f>
        <v>#DIV/0!</v>
      </c>
      <c r="G65" s="136" t="e">
        <f>'D_EU Marinas_Scenario_Calc'!L48</f>
        <v>#DIV/0!</v>
      </c>
      <c r="H65" s="136" t="e">
        <f>'D_EU Marinas_Scenario_Calc'!M48</f>
        <v>#DIV/0!</v>
      </c>
      <c r="I65" s="136" t="e">
        <f>'D_EU Marinas_Scenario_Calc'!N48</f>
        <v>#DIV/0!</v>
      </c>
      <c r="O65" s="64"/>
    </row>
    <row r="66" spans="1:15" x14ac:dyDescent="0.2">
      <c r="A66" s="64"/>
      <c r="C66" s="138" t="s">
        <v>146</v>
      </c>
      <c r="D66" s="138" t="s">
        <v>13</v>
      </c>
      <c r="E66" s="138">
        <v>8</v>
      </c>
      <c r="F66" s="136" t="e">
        <f>'D_EU Marinas_Scenario_Calc'!K49</f>
        <v>#DIV/0!</v>
      </c>
      <c r="G66" s="136" t="e">
        <f>'D_EU Marinas_Scenario_Calc'!L49</f>
        <v>#DIV/0!</v>
      </c>
      <c r="H66" s="136" t="e">
        <f>'D_EU Marinas_Scenario_Calc'!M49</f>
        <v>#DIV/0!</v>
      </c>
      <c r="I66" s="136" t="e">
        <f>'D_EU Marinas_Scenario_Calc'!N49</f>
        <v>#DIV/0!</v>
      </c>
      <c r="O66" s="64"/>
    </row>
    <row r="67" spans="1:15" x14ac:dyDescent="0.2">
      <c r="A67" s="64"/>
      <c r="C67" s="138" t="s">
        <v>147</v>
      </c>
      <c r="D67" s="138" t="s">
        <v>13</v>
      </c>
      <c r="E67" s="138">
        <v>14</v>
      </c>
      <c r="F67" s="136" t="e">
        <f>'D_EU Marinas_Scenario_Calc'!K50</f>
        <v>#DIV/0!</v>
      </c>
      <c r="G67" s="136" t="e">
        <f>'D_EU Marinas_Scenario_Calc'!L50</f>
        <v>#DIV/0!</v>
      </c>
      <c r="H67" s="136" t="e">
        <f>'D_EU Marinas_Scenario_Calc'!M50</f>
        <v>#DIV/0!</v>
      </c>
      <c r="I67" s="136" t="e">
        <f>'D_EU Marinas_Scenario_Calc'!N50</f>
        <v>#DIV/0!</v>
      </c>
      <c r="O67" s="64"/>
    </row>
    <row r="68" spans="1:15" x14ac:dyDescent="0.2">
      <c r="A68" s="64"/>
      <c r="C68" s="138" t="s">
        <v>148</v>
      </c>
      <c r="D68" s="138" t="s">
        <v>13</v>
      </c>
      <c r="E68" s="138">
        <v>17</v>
      </c>
      <c r="F68" s="136" t="e">
        <f>'D_EU Marinas_Scenario_Calc'!K51</f>
        <v>#DIV/0!</v>
      </c>
      <c r="G68" s="136" t="e">
        <f>'D_EU Marinas_Scenario_Calc'!L51</f>
        <v>#DIV/0!</v>
      </c>
      <c r="H68" s="136" t="e">
        <f>'D_EU Marinas_Scenario_Calc'!M51</f>
        <v>#DIV/0!</v>
      </c>
      <c r="I68" s="136" t="e">
        <f>'D_EU Marinas_Scenario_Calc'!N51</f>
        <v>#DIV/0!</v>
      </c>
      <c r="O68" s="64"/>
    </row>
    <row r="69" spans="1:15" x14ac:dyDescent="0.2">
      <c r="A69" s="64"/>
      <c r="C69" s="138" t="s">
        <v>149</v>
      </c>
      <c r="D69" s="138" t="s">
        <v>13</v>
      </c>
      <c r="E69" s="138">
        <v>21</v>
      </c>
      <c r="F69" s="136" t="e">
        <f>'D_EU Marinas_Scenario_Calc'!K52</f>
        <v>#DIV/0!</v>
      </c>
      <c r="G69" s="136" t="e">
        <f>'D_EU Marinas_Scenario_Calc'!L52</f>
        <v>#DIV/0!</v>
      </c>
      <c r="H69" s="136" t="e">
        <f>'D_EU Marinas_Scenario_Calc'!M52</f>
        <v>#DIV/0!</v>
      </c>
      <c r="I69" s="136" t="e">
        <f>'D_EU Marinas_Scenario_Calc'!N52</f>
        <v>#DIV/0!</v>
      </c>
      <c r="O69" s="64"/>
    </row>
    <row r="70" spans="1:15" x14ac:dyDescent="0.2">
      <c r="A70" s="64"/>
      <c r="C70" s="138" t="s">
        <v>150</v>
      </c>
      <c r="D70" s="138" t="s">
        <v>13</v>
      </c>
      <c r="E70" s="138">
        <v>26</v>
      </c>
      <c r="F70" s="136" t="e">
        <f>'D_EU Marinas_Scenario_Calc'!K53</f>
        <v>#DIV/0!</v>
      </c>
      <c r="G70" s="136" t="e">
        <f>'D_EU Marinas_Scenario_Calc'!L53</f>
        <v>#DIV/0!</v>
      </c>
      <c r="H70" s="136" t="e">
        <f>'D_EU Marinas_Scenario_Calc'!M53</f>
        <v>#DIV/0!</v>
      </c>
      <c r="I70" s="136" t="e">
        <f>'D_EU Marinas_Scenario_Calc'!N53</f>
        <v>#DIV/0!</v>
      </c>
      <c r="O70" s="64"/>
    </row>
    <row r="71" spans="1:15" x14ac:dyDescent="0.2">
      <c r="A71" s="64"/>
      <c r="C71" s="138" t="s">
        <v>151</v>
      </c>
      <c r="D71" s="138" t="s">
        <v>13</v>
      </c>
      <c r="E71" s="138">
        <v>30</v>
      </c>
      <c r="F71" s="136" t="e">
        <f>'D_EU Marinas_Scenario_Calc'!K54</f>
        <v>#DIV/0!</v>
      </c>
      <c r="G71" s="136" t="e">
        <f>'D_EU Marinas_Scenario_Calc'!L54</f>
        <v>#DIV/0!</v>
      </c>
      <c r="H71" s="136" t="e">
        <f>'D_EU Marinas_Scenario_Calc'!M54</f>
        <v>#DIV/0!</v>
      </c>
      <c r="I71" s="136" t="e">
        <f>'D_EU Marinas_Scenario_Calc'!N54</f>
        <v>#DIV/0!</v>
      </c>
      <c r="O71" s="64"/>
    </row>
    <row r="72" spans="1:15" x14ac:dyDescent="0.2">
      <c r="A72" s="64"/>
      <c r="C72" s="138" t="s">
        <v>152</v>
      </c>
      <c r="D72" s="138" t="s">
        <v>13</v>
      </c>
      <c r="E72" s="138">
        <v>34</v>
      </c>
      <c r="F72" s="136" t="e">
        <f>'D_EU Marinas_Scenario_Calc'!K55</f>
        <v>#DIV/0!</v>
      </c>
      <c r="G72" s="136" t="e">
        <f>'D_EU Marinas_Scenario_Calc'!L55</f>
        <v>#DIV/0!</v>
      </c>
      <c r="H72" s="136" t="e">
        <f>'D_EU Marinas_Scenario_Calc'!M55</f>
        <v>#DIV/0!</v>
      </c>
      <c r="I72" s="136" t="e">
        <f>'D_EU Marinas_Scenario_Calc'!N55</f>
        <v>#DIV/0!</v>
      </c>
      <c r="O72" s="64"/>
    </row>
    <row r="73" spans="1:15" x14ac:dyDescent="0.2">
      <c r="A73" s="64"/>
      <c r="C73" s="138" t="s">
        <v>153</v>
      </c>
      <c r="D73" s="138" t="s">
        <v>13</v>
      </c>
      <c r="E73" s="138">
        <v>40</v>
      </c>
      <c r="F73" s="136" t="e">
        <f>'D_EU Marinas_Scenario_Calc'!K56</f>
        <v>#DIV/0!</v>
      </c>
      <c r="G73" s="136" t="e">
        <f>'D_EU Marinas_Scenario_Calc'!L56</f>
        <v>#DIV/0!</v>
      </c>
      <c r="H73" s="136" t="e">
        <f>'D_EU Marinas_Scenario_Calc'!M56</f>
        <v>#DIV/0!</v>
      </c>
      <c r="I73" s="136" t="e">
        <f>'D_EU Marinas_Scenario_Calc'!N56</f>
        <v>#DIV/0!</v>
      </c>
      <c r="O73" s="64"/>
    </row>
    <row r="74" spans="1:15" x14ac:dyDescent="0.2">
      <c r="A74" s="64"/>
      <c r="C74" s="138" t="s">
        <v>154</v>
      </c>
      <c r="D74" s="138" t="s">
        <v>13</v>
      </c>
      <c r="E74" s="138">
        <v>42</v>
      </c>
      <c r="F74" s="136" t="e">
        <f>'D_EU Marinas_Scenario_Calc'!K57</f>
        <v>#DIV/0!</v>
      </c>
      <c r="G74" s="136" t="e">
        <f>'D_EU Marinas_Scenario_Calc'!L57</f>
        <v>#DIV/0!</v>
      </c>
      <c r="H74" s="136" t="e">
        <f>'D_EU Marinas_Scenario_Calc'!M57</f>
        <v>#DIV/0!</v>
      </c>
      <c r="I74" s="136" t="e">
        <f>'D_EU Marinas_Scenario_Calc'!N57</f>
        <v>#DIV/0!</v>
      </c>
      <c r="O74" s="64"/>
    </row>
    <row r="75" spans="1:15" x14ac:dyDescent="0.2">
      <c r="A75" s="64"/>
      <c r="C75" s="138" t="s">
        <v>155</v>
      </c>
      <c r="D75" s="138" t="s">
        <v>13</v>
      </c>
      <c r="E75" s="138">
        <v>44</v>
      </c>
      <c r="F75" s="136" t="e">
        <f>'D_EU Marinas_Scenario_Calc'!K58</f>
        <v>#DIV/0!</v>
      </c>
      <c r="G75" s="136" t="e">
        <f>'D_EU Marinas_Scenario_Calc'!L58</f>
        <v>#DIV/0!</v>
      </c>
      <c r="H75" s="136" t="e">
        <f>'D_EU Marinas_Scenario_Calc'!M58</f>
        <v>#DIV/0!</v>
      </c>
      <c r="I75" s="136" t="e">
        <f>'D_EU Marinas_Scenario_Calc'!N58</f>
        <v>#DIV/0!</v>
      </c>
      <c r="O75" s="64"/>
    </row>
    <row r="76" spans="1:15" x14ac:dyDescent="0.2">
      <c r="A76" s="64"/>
      <c r="C76" s="138" t="s">
        <v>156</v>
      </c>
      <c r="D76" s="138" t="s">
        <v>13</v>
      </c>
      <c r="E76" s="138">
        <v>45</v>
      </c>
      <c r="F76" s="136" t="e">
        <f>'D_EU Marinas_Scenario_Calc'!K59</f>
        <v>#DIV/0!</v>
      </c>
      <c r="G76" s="136" t="e">
        <f>'D_EU Marinas_Scenario_Calc'!L59</f>
        <v>#DIV/0!</v>
      </c>
      <c r="H76" s="136" t="e">
        <f>'D_EU Marinas_Scenario_Calc'!M59</f>
        <v>#DIV/0!</v>
      </c>
      <c r="I76" s="136" t="e">
        <f>'D_EU Marinas_Scenario_Calc'!N59</f>
        <v>#DIV/0!</v>
      </c>
      <c r="O76" s="64"/>
    </row>
    <row r="77" spans="1:15" x14ac:dyDescent="0.2">
      <c r="A77" s="64"/>
      <c r="C77" s="138" t="s">
        <v>157</v>
      </c>
      <c r="D77" s="138" t="s">
        <v>13</v>
      </c>
      <c r="E77" s="138">
        <v>46</v>
      </c>
      <c r="F77" s="136" t="e">
        <f>'D_EU Marinas_Scenario_Calc'!K60</f>
        <v>#DIV/0!</v>
      </c>
      <c r="G77" s="136" t="e">
        <f>'D_EU Marinas_Scenario_Calc'!L60</f>
        <v>#DIV/0!</v>
      </c>
      <c r="H77" s="136" t="e">
        <f>'D_EU Marinas_Scenario_Calc'!M60</f>
        <v>#DIV/0!</v>
      </c>
      <c r="I77" s="136" t="e">
        <f>'D_EU Marinas_Scenario_Calc'!N60</f>
        <v>#DIV/0!</v>
      </c>
      <c r="O77" s="64"/>
    </row>
    <row r="78" spans="1:15" x14ac:dyDescent="0.2">
      <c r="A78" s="64"/>
      <c r="C78" s="138" t="s">
        <v>158</v>
      </c>
      <c r="D78" s="138" t="s">
        <v>13</v>
      </c>
      <c r="E78" s="138">
        <v>48</v>
      </c>
      <c r="F78" s="136" t="e">
        <f>'D_EU Marinas_Scenario_Calc'!K61</f>
        <v>#DIV/0!</v>
      </c>
      <c r="G78" s="136" t="e">
        <f>'D_EU Marinas_Scenario_Calc'!L61</f>
        <v>#DIV/0!</v>
      </c>
      <c r="H78" s="136" t="e">
        <f>'D_EU Marinas_Scenario_Calc'!M61</f>
        <v>#DIV/0!</v>
      </c>
      <c r="I78" s="136" t="e">
        <f>'D_EU Marinas_Scenario_Calc'!N61</f>
        <v>#DIV/0!</v>
      </c>
      <c r="O78" s="64"/>
    </row>
    <row r="79" spans="1:15" x14ac:dyDescent="0.2">
      <c r="A79" s="64"/>
      <c r="C79" s="138" t="s">
        <v>159</v>
      </c>
      <c r="D79" s="138" t="s">
        <v>160</v>
      </c>
      <c r="E79" s="138">
        <v>1</v>
      </c>
      <c r="F79" s="136" t="e">
        <f>'D_EU Marinas_Scenario_Calc'!K62</f>
        <v>#DIV/0!</v>
      </c>
      <c r="G79" s="136" t="e">
        <f>'D_EU Marinas_Scenario_Calc'!L62</f>
        <v>#DIV/0!</v>
      </c>
      <c r="H79" s="136" t="e">
        <f>'D_EU Marinas_Scenario_Calc'!M62</f>
        <v>#DIV/0!</v>
      </c>
      <c r="I79" s="136" t="e">
        <f>'D_EU Marinas_Scenario_Calc'!N62</f>
        <v>#DIV/0!</v>
      </c>
      <c r="O79" s="64"/>
    </row>
    <row r="80" spans="1:15" x14ac:dyDescent="0.2">
      <c r="A80" s="64"/>
      <c r="C80" s="138" t="s">
        <v>161</v>
      </c>
      <c r="D80" s="138" t="s">
        <v>160</v>
      </c>
      <c r="E80" s="138">
        <v>2</v>
      </c>
      <c r="F80" s="136" t="e">
        <f>'D_EU Marinas_Scenario_Calc'!K63</f>
        <v>#DIV/0!</v>
      </c>
      <c r="G80" s="136" t="e">
        <f>'D_EU Marinas_Scenario_Calc'!L63</f>
        <v>#DIV/0!</v>
      </c>
      <c r="H80" s="136" t="e">
        <f>'D_EU Marinas_Scenario_Calc'!M63</f>
        <v>#DIV/0!</v>
      </c>
      <c r="I80" s="136" t="e">
        <f>'D_EU Marinas_Scenario_Calc'!N63</f>
        <v>#DIV/0!</v>
      </c>
      <c r="O80" s="64"/>
    </row>
    <row r="81" spans="1:15" x14ac:dyDescent="0.2">
      <c r="A81" s="64"/>
      <c r="C81" s="138" t="s">
        <v>162</v>
      </c>
      <c r="D81" s="138" t="s">
        <v>160</v>
      </c>
      <c r="E81" s="138">
        <v>3</v>
      </c>
      <c r="F81" s="136" t="e">
        <f>'D_EU Marinas_Scenario_Calc'!K64</f>
        <v>#DIV/0!</v>
      </c>
      <c r="G81" s="136" t="e">
        <f>'D_EU Marinas_Scenario_Calc'!L64</f>
        <v>#DIV/0!</v>
      </c>
      <c r="H81" s="136" t="e">
        <f>'D_EU Marinas_Scenario_Calc'!M64</f>
        <v>#DIV/0!</v>
      </c>
      <c r="I81" s="136" t="e">
        <f>'D_EU Marinas_Scenario_Calc'!N64</f>
        <v>#DIV/0!</v>
      </c>
      <c r="O81" s="64"/>
    </row>
    <row r="82" spans="1:15" x14ac:dyDescent="0.2">
      <c r="A82" s="64"/>
      <c r="C82" s="138" t="s">
        <v>163</v>
      </c>
      <c r="D82" s="138" t="s">
        <v>160</v>
      </c>
      <c r="E82" s="138">
        <v>4</v>
      </c>
      <c r="F82" s="136" t="e">
        <f>'D_EU Marinas_Scenario_Calc'!K65</f>
        <v>#DIV/0!</v>
      </c>
      <c r="G82" s="136" t="e">
        <f>'D_EU Marinas_Scenario_Calc'!L65</f>
        <v>#DIV/0!</v>
      </c>
      <c r="H82" s="136" t="e">
        <f>'D_EU Marinas_Scenario_Calc'!M65</f>
        <v>#DIV/0!</v>
      </c>
      <c r="I82" s="136" t="e">
        <f>'D_EU Marinas_Scenario_Calc'!N65</f>
        <v>#DIV/0!</v>
      </c>
      <c r="O82" s="64"/>
    </row>
    <row r="83" spans="1:15" x14ac:dyDescent="0.2">
      <c r="A83" s="64"/>
      <c r="C83" s="138" t="s">
        <v>164</v>
      </c>
      <c r="D83" s="138" t="s">
        <v>160</v>
      </c>
      <c r="E83" s="138">
        <v>5</v>
      </c>
      <c r="F83" s="136" t="e">
        <f>'D_EU Marinas_Scenario_Calc'!K66</f>
        <v>#DIV/0!</v>
      </c>
      <c r="G83" s="136" t="e">
        <f>'D_EU Marinas_Scenario_Calc'!L66</f>
        <v>#DIV/0!</v>
      </c>
      <c r="H83" s="136" t="e">
        <f>'D_EU Marinas_Scenario_Calc'!M66</f>
        <v>#DIV/0!</v>
      </c>
      <c r="I83" s="136" t="e">
        <f>'D_EU Marinas_Scenario_Calc'!N66</f>
        <v>#DIV/0!</v>
      </c>
      <c r="O83" s="64"/>
    </row>
    <row r="84" spans="1:15" x14ac:dyDescent="0.2">
      <c r="A84" s="64"/>
      <c r="C84" s="181" t="s">
        <v>172</v>
      </c>
      <c r="D84" s="182"/>
      <c r="E84" s="183"/>
      <c r="F84" s="136" t="e">
        <f>'D_Regulatory_ Marinas_Calc'!I21</f>
        <v>#DIV/0!</v>
      </c>
      <c r="G84" s="136" t="e">
        <f>'D_Regulatory_ Marinas_Calc'!J21</f>
        <v>#DIV/0!</v>
      </c>
      <c r="H84" s="136" t="e">
        <f>'D_Regulatory_ Marinas_Calc'!K21</f>
        <v>#DIV/0!</v>
      </c>
      <c r="I84" s="136" t="e">
        <f>'D_Regulatory_ Marinas_Calc'!L21</f>
        <v>#DIV/0!</v>
      </c>
      <c r="O84" s="64"/>
    </row>
    <row r="85" spans="1:15" x14ac:dyDescent="0.2">
      <c r="A85" s="64"/>
      <c r="C85" s="184" t="s">
        <v>173</v>
      </c>
      <c r="D85" s="185"/>
      <c r="E85" s="186"/>
      <c r="F85" s="136" t="e">
        <f>'D_Regulatory_ Marinas_Calc'!I22</f>
        <v>#DIV/0!</v>
      </c>
      <c r="G85" s="136" t="e">
        <f>'D_Regulatory_ Marinas_Calc'!J22</f>
        <v>#DIV/0!</v>
      </c>
      <c r="H85" s="136" t="e">
        <f>'D_Regulatory_ Marinas_Calc'!K22</f>
        <v>#DIV/0!</v>
      </c>
      <c r="I85" s="136" t="e">
        <f>'D_Regulatory_ Marinas_Calc'!L22</f>
        <v>#DIV/0!</v>
      </c>
      <c r="O85" s="64"/>
    </row>
    <row r="86" spans="1:15" x14ac:dyDescent="0.2">
      <c r="A86" s="64"/>
      <c r="C86" s="106"/>
      <c r="D86" s="106"/>
      <c r="E86" s="106"/>
      <c r="F86" s="107"/>
      <c r="G86" s="107"/>
      <c r="H86" s="107"/>
      <c r="I86" s="107"/>
      <c r="O86" s="64"/>
    </row>
    <row r="87" spans="1:15" x14ac:dyDescent="0.2">
      <c r="A87" s="64"/>
      <c r="B87" s="91"/>
      <c r="C87" s="59" t="s">
        <v>82</v>
      </c>
      <c r="O87" s="64"/>
    </row>
    <row r="88" spans="1:15" x14ac:dyDescent="0.2">
      <c r="A88" s="64"/>
      <c r="C88" s="91" t="s">
        <v>91</v>
      </c>
      <c r="O88" s="64"/>
    </row>
    <row r="89" spans="1:15" ht="120" customHeight="1" x14ac:dyDescent="0.2">
      <c r="A89" s="64"/>
      <c r="C89" s="61" t="s">
        <v>9</v>
      </c>
      <c r="D89" s="178" t="s">
        <v>10</v>
      </c>
      <c r="E89" s="179"/>
      <c r="F89" s="135" t="s">
        <v>60</v>
      </c>
      <c r="G89" s="135" t="s">
        <v>61</v>
      </c>
      <c r="H89" s="135" t="s">
        <v>62</v>
      </c>
      <c r="I89" s="135" t="s">
        <v>63</v>
      </c>
      <c r="O89" s="64"/>
    </row>
    <row r="90" spans="1:15" x14ac:dyDescent="0.2">
      <c r="A90" s="64"/>
      <c r="C90" s="61" t="s">
        <v>106</v>
      </c>
      <c r="D90" s="61" t="s">
        <v>107</v>
      </c>
      <c r="E90" s="61">
        <v>1</v>
      </c>
      <c r="F90" s="136" t="e">
        <f>'D_EU Marinas_Scenario_Calc'!S21</f>
        <v>#DIV/0!</v>
      </c>
      <c r="G90" s="136" t="e">
        <f>'D_EU Marinas_Scenario_Calc'!T21</f>
        <v>#DIV/0!</v>
      </c>
      <c r="H90" s="136" t="e">
        <f>'D_EU Marinas_Scenario_Calc'!U21</f>
        <v>#DIV/0!</v>
      </c>
      <c r="I90" s="136" t="e">
        <f>'D_EU Marinas_Scenario_Calc'!V21</f>
        <v>#DIV/0!</v>
      </c>
      <c r="O90" s="64"/>
    </row>
    <row r="91" spans="1:15" x14ac:dyDescent="0.2">
      <c r="A91" s="64"/>
      <c r="C91" s="61" t="s">
        <v>108</v>
      </c>
      <c r="D91" s="61" t="s">
        <v>107</v>
      </c>
      <c r="E91" s="61">
        <v>2</v>
      </c>
      <c r="F91" s="136" t="e">
        <f>'D_EU Marinas_Scenario_Calc'!S22</f>
        <v>#DIV/0!</v>
      </c>
      <c r="G91" s="136" t="e">
        <f>'D_EU Marinas_Scenario_Calc'!T22</f>
        <v>#DIV/0!</v>
      </c>
      <c r="H91" s="136" t="e">
        <f>'D_EU Marinas_Scenario_Calc'!U22</f>
        <v>#DIV/0!</v>
      </c>
      <c r="I91" s="136" t="e">
        <f>'D_EU Marinas_Scenario_Calc'!V22</f>
        <v>#DIV/0!</v>
      </c>
      <c r="O91" s="64"/>
    </row>
    <row r="92" spans="1:15" x14ac:dyDescent="0.2">
      <c r="A92" s="64"/>
      <c r="C92" s="61" t="s">
        <v>109</v>
      </c>
      <c r="D92" s="61" t="s">
        <v>107</v>
      </c>
      <c r="E92" s="61">
        <v>3</v>
      </c>
      <c r="F92" s="136" t="e">
        <f>'D_EU Marinas_Scenario_Calc'!S23</f>
        <v>#DIV/0!</v>
      </c>
      <c r="G92" s="136" t="e">
        <f>'D_EU Marinas_Scenario_Calc'!T23</f>
        <v>#DIV/0!</v>
      </c>
      <c r="H92" s="136" t="e">
        <f>'D_EU Marinas_Scenario_Calc'!U23</f>
        <v>#DIV/0!</v>
      </c>
      <c r="I92" s="136" t="e">
        <f>'D_EU Marinas_Scenario_Calc'!V23</f>
        <v>#DIV/0!</v>
      </c>
      <c r="O92" s="64"/>
    </row>
    <row r="93" spans="1:15" x14ac:dyDescent="0.2">
      <c r="A93" s="64"/>
      <c r="C93" s="61" t="s">
        <v>110</v>
      </c>
      <c r="D93" s="61" t="s">
        <v>107</v>
      </c>
      <c r="E93" s="61">
        <v>4</v>
      </c>
      <c r="F93" s="136" t="e">
        <f>'D_EU Marinas_Scenario_Calc'!S24</f>
        <v>#DIV/0!</v>
      </c>
      <c r="G93" s="136" t="e">
        <f>'D_EU Marinas_Scenario_Calc'!T24</f>
        <v>#DIV/0!</v>
      </c>
      <c r="H93" s="136" t="e">
        <f>'D_EU Marinas_Scenario_Calc'!U24</f>
        <v>#DIV/0!</v>
      </c>
      <c r="I93" s="136" t="e">
        <f>'D_EU Marinas_Scenario_Calc'!V24</f>
        <v>#DIV/0!</v>
      </c>
      <c r="O93" s="64"/>
    </row>
    <row r="94" spans="1:15" x14ac:dyDescent="0.2">
      <c r="A94" s="64"/>
      <c r="C94" s="61" t="s">
        <v>111</v>
      </c>
      <c r="D94" s="61" t="s">
        <v>107</v>
      </c>
      <c r="E94" s="61">
        <v>5</v>
      </c>
      <c r="F94" s="136" t="e">
        <f>'D_EU Marinas_Scenario_Calc'!S25</f>
        <v>#DIV/0!</v>
      </c>
      <c r="G94" s="136" t="e">
        <f>'D_EU Marinas_Scenario_Calc'!T25</f>
        <v>#DIV/0!</v>
      </c>
      <c r="H94" s="136" t="e">
        <f>'D_EU Marinas_Scenario_Calc'!U25</f>
        <v>#DIV/0!</v>
      </c>
      <c r="I94" s="136" t="e">
        <f>'D_EU Marinas_Scenario_Calc'!V25</f>
        <v>#DIV/0!</v>
      </c>
      <c r="O94" s="64"/>
    </row>
    <row r="95" spans="1:15" x14ac:dyDescent="0.2">
      <c r="A95" s="64"/>
      <c r="C95" s="61" t="s">
        <v>112</v>
      </c>
      <c r="D95" s="61" t="s">
        <v>107</v>
      </c>
      <c r="E95" s="61">
        <v>6</v>
      </c>
      <c r="F95" s="136" t="e">
        <f>'D_EU Marinas_Scenario_Calc'!S26</f>
        <v>#DIV/0!</v>
      </c>
      <c r="G95" s="136" t="e">
        <f>'D_EU Marinas_Scenario_Calc'!T26</f>
        <v>#DIV/0!</v>
      </c>
      <c r="H95" s="136" t="e">
        <f>'D_EU Marinas_Scenario_Calc'!U26</f>
        <v>#DIV/0!</v>
      </c>
      <c r="I95" s="136" t="e">
        <f>'D_EU Marinas_Scenario_Calc'!V26</f>
        <v>#DIV/0!</v>
      </c>
      <c r="O95" s="64"/>
    </row>
    <row r="96" spans="1:15" x14ac:dyDescent="0.2">
      <c r="A96" s="64"/>
      <c r="C96" s="61" t="s">
        <v>113</v>
      </c>
      <c r="D96" s="61" t="s">
        <v>107</v>
      </c>
      <c r="E96" s="61">
        <v>7</v>
      </c>
      <c r="F96" s="136" t="e">
        <f>'D_EU Marinas_Scenario_Calc'!S27</f>
        <v>#DIV/0!</v>
      </c>
      <c r="G96" s="136" t="e">
        <f>'D_EU Marinas_Scenario_Calc'!T27</f>
        <v>#DIV/0!</v>
      </c>
      <c r="H96" s="136" t="e">
        <f>'D_EU Marinas_Scenario_Calc'!U27</f>
        <v>#DIV/0!</v>
      </c>
      <c r="I96" s="136" t="e">
        <f>'D_EU Marinas_Scenario_Calc'!V27</f>
        <v>#DIV/0!</v>
      </c>
      <c r="O96" s="64"/>
    </row>
    <row r="97" spans="1:15" x14ac:dyDescent="0.2">
      <c r="A97" s="64"/>
      <c r="C97" s="61" t="s">
        <v>114</v>
      </c>
      <c r="D97" s="61" t="s">
        <v>115</v>
      </c>
      <c r="E97" s="61">
        <v>2</v>
      </c>
      <c r="F97" s="136" t="e">
        <f>'D_EU Marinas_Scenario_Calc'!S28</f>
        <v>#DIV/0!</v>
      </c>
      <c r="G97" s="136" t="e">
        <f>'D_EU Marinas_Scenario_Calc'!T28</f>
        <v>#DIV/0!</v>
      </c>
      <c r="H97" s="136" t="e">
        <f>'D_EU Marinas_Scenario_Calc'!U28</f>
        <v>#DIV/0!</v>
      </c>
      <c r="I97" s="136" t="e">
        <f>'D_EU Marinas_Scenario_Calc'!V28</f>
        <v>#DIV/0!</v>
      </c>
      <c r="O97" s="64"/>
    </row>
    <row r="98" spans="1:15" x14ac:dyDescent="0.2">
      <c r="A98" s="64"/>
      <c r="C98" s="61" t="s">
        <v>116</v>
      </c>
      <c r="D98" s="61" t="s">
        <v>115</v>
      </c>
      <c r="E98" s="61">
        <v>3</v>
      </c>
      <c r="F98" s="136" t="e">
        <f>'D_EU Marinas_Scenario_Calc'!S29</f>
        <v>#DIV/0!</v>
      </c>
      <c r="G98" s="136" t="e">
        <f>'D_EU Marinas_Scenario_Calc'!T29</f>
        <v>#DIV/0!</v>
      </c>
      <c r="H98" s="136" t="e">
        <f>'D_EU Marinas_Scenario_Calc'!U29</f>
        <v>#DIV/0!</v>
      </c>
      <c r="I98" s="136" t="e">
        <f>'D_EU Marinas_Scenario_Calc'!V29</f>
        <v>#DIV/0!</v>
      </c>
      <c r="O98" s="64"/>
    </row>
    <row r="99" spans="1:15" x14ac:dyDescent="0.2">
      <c r="A99" s="64"/>
      <c r="C99" s="61" t="s">
        <v>117</v>
      </c>
      <c r="D99" s="61" t="s">
        <v>115</v>
      </c>
      <c r="E99" s="61">
        <v>5</v>
      </c>
      <c r="F99" s="136" t="e">
        <f>'D_EU Marinas_Scenario_Calc'!S30</f>
        <v>#DIV/0!</v>
      </c>
      <c r="G99" s="136" t="e">
        <f>'D_EU Marinas_Scenario_Calc'!T30</f>
        <v>#DIV/0!</v>
      </c>
      <c r="H99" s="136" t="e">
        <f>'D_EU Marinas_Scenario_Calc'!U30</f>
        <v>#DIV/0!</v>
      </c>
      <c r="I99" s="136" t="e">
        <f>'D_EU Marinas_Scenario_Calc'!V30</f>
        <v>#DIV/0!</v>
      </c>
      <c r="O99" s="64"/>
    </row>
    <row r="100" spans="1:15" x14ac:dyDescent="0.2">
      <c r="A100" s="64"/>
      <c r="C100" s="61" t="s">
        <v>118</v>
      </c>
      <c r="D100" s="61" t="s">
        <v>115</v>
      </c>
      <c r="E100" s="61">
        <v>6</v>
      </c>
      <c r="F100" s="136" t="e">
        <f>'D_EU Marinas_Scenario_Calc'!S31</f>
        <v>#DIV/0!</v>
      </c>
      <c r="G100" s="136" t="e">
        <f>'D_EU Marinas_Scenario_Calc'!T31</f>
        <v>#DIV/0!</v>
      </c>
      <c r="H100" s="136" t="e">
        <f>'D_EU Marinas_Scenario_Calc'!U31</f>
        <v>#DIV/0!</v>
      </c>
      <c r="I100" s="136" t="e">
        <f>'D_EU Marinas_Scenario_Calc'!V31</f>
        <v>#DIV/0!</v>
      </c>
      <c r="O100" s="64"/>
    </row>
    <row r="101" spans="1:15" x14ac:dyDescent="0.2">
      <c r="A101" s="64"/>
      <c r="C101" s="61" t="s">
        <v>119</v>
      </c>
      <c r="D101" s="61" t="s">
        <v>115</v>
      </c>
      <c r="E101" s="61">
        <v>11</v>
      </c>
      <c r="F101" s="136" t="e">
        <f>'D_EU Marinas_Scenario_Calc'!S32</f>
        <v>#DIV/0!</v>
      </c>
      <c r="G101" s="136" t="e">
        <f>'D_EU Marinas_Scenario_Calc'!T32</f>
        <v>#DIV/0!</v>
      </c>
      <c r="H101" s="136" t="e">
        <f>'D_EU Marinas_Scenario_Calc'!U32</f>
        <v>#DIV/0!</v>
      </c>
      <c r="I101" s="136" t="e">
        <f>'D_EU Marinas_Scenario_Calc'!V32</f>
        <v>#DIV/0!</v>
      </c>
      <c r="O101" s="64"/>
    </row>
    <row r="102" spans="1:15" x14ac:dyDescent="0.2">
      <c r="A102" s="64"/>
      <c r="C102" s="61" t="s">
        <v>120</v>
      </c>
      <c r="D102" s="61" t="s">
        <v>115</v>
      </c>
      <c r="E102" s="61">
        <v>12</v>
      </c>
      <c r="F102" s="136" t="e">
        <f>'D_EU Marinas_Scenario_Calc'!S33</f>
        <v>#DIV/0!</v>
      </c>
      <c r="G102" s="136" t="e">
        <f>'D_EU Marinas_Scenario_Calc'!T33</f>
        <v>#DIV/0!</v>
      </c>
      <c r="H102" s="136" t="e">
        <f>'D_EU Marinas_Scenario_Calc'!U33</f>
        <v>#DIV/0!</v>
      </c>
      <c r="I102" s="136" t="e">
        <f>'D_EU Marinas_Scenario_Calc'!V33</f>
        <v>#DIV/0!</v>
      </c>
      <c r="O102" s="64"/>
    </row>
    <row r="103" spans="1:15" x14ac:dyDescent="0.2">
      <c r="A103" s="64"/>
      <c r="C103" s="61" t="s">
        <v>121</v>
      </c>
      <c r="D103" s="61" t="s">
        <v>12</v>
      </c>
      <c r="E103" s="61" t="s">
        <v>122</v>
      </c>
      <c r="F103" s="136" t="e">
        <f>'D_EU Marinas_Scenario_Calc'!S34</f>
        <v>#DIV/0!</v>
      </c>
      <c r="G103" s="136" t="e">
        <f>'D_EU Marinas_Scenario_Calc'!T34</f>
        <v>#DIV/0!</v>
      </c>
      <c r="H103" s="136" t="e">
        <f>'D_EU Marinas_Scenario_Calc'!U34</f>
        <v>#DIV/0!</v>
      </c>
      <c r="I103" s="136" t="e">
        <f>'D_EU Marinas_Scenario_Calc'!V34</f>
        <v>#DIV/0!</v>
      </c>
      <c r="O103" s="64"/>
    </row>
    <row r="104" spans="1:15" x14ac:dyDescent="0.2">
      <c r="A104" s="64"/>
      <c r="C104" s="61" t="s">
        <v>123</v>
      </c>
      <c r="D104" s="61" t="s">
        <v>12</v>
      </c>
      <c r="E104" s="61" t="s">
        <v>124</v>
      </c>
      <c r="F104" s="136" t="e">
        <f>'D_EU Marinas_Scenario_Calc'!S35</f>
        <v>#DIV/0!</v>
      </c>
      <c r="G104" s="136" t="e">
        <f>'D_EU Marinas_Scenario_Calc'!T35</f>
        <v>#DIV/0!</v>
      </c>
      <c r="H104" s="136" t="e">
        <f>'D_EU Marinas_Scenario_Calc'!U35</f>
        <v>#DIV/0!</v>
      </c>
      <c r="I104" s="136" t="e">
        <f>'D_EU Marinas_Scenario_Calc'!V35</f>
        <v>#DIV/0!</v>
      </c>
      <c r="O104" s="64"/>
    </row>
    <row r="105" spans="1:15" x14ac:dyDescent="0.2">
      <c r="A105" s="64"/>
      <c r="C105" s="61" t="s">
        <v>125</v>
      </c>
      <c r="D105" s="61" t="s">
        <v>12</v>
      </c>
      <c r="E105" s="61" t="s">
        <v>126</v>
      </c>
      <c r="F105" s="136" t="e">
        <f>'D_EU Marinas_Scenario_Calc'!S36</f>
        <v>#DIV/0!</v>
      </c>
      <c r="G105" s="136" t="e">
        <f>'D_EU Marinas_Scenario_Calc'!T36</f>
        <v>#DIV/0!</v>
      </c>
      <c r="H105" s="136" t="e">
        <f>'D_EU Marinas_Scenario_Calc'!U36</f>
        <v>#DIV/0!</v>
      </c>
      <c r="I105" s="136" t="e">
        <f>'D_EU Marinas_Scenario_Calc'!V36</f>
        <v>#DIV/0!</v>
      </c>
      <c r="O105" s="64"/>
    </row>
    <row r="106" spans="1:15" x14ac:dyDescent="0.2">
      <c r="A106" s="64"/>
      <c r="C106" s="61" t="s">
        <v>127</v>
      </c>
      <c r="D106" s="61" t="s">
        <v>12</v>
      </c>
      <c r="E106" s="61" t="s">
        <v>128</v>
      </c>
      <c r="F106" s="136" t="e">
        <f>'D_EU Marinas_Scenario_Calc'!S37</f>
        <v>#DIV/0!</v>
      </c>
      <c r="G106" s="136" t="e">
        <f>'D_EU Marinas_Scenario_Calc'!T37</f>
        <v>#DIV/0!</v>
      </c>
      <c r="H106" s="136" t="e">
        <f>'D_EU Marinas_Scenario_Calc'!U37</f>
        <v>#DIV/0!</v>
      </c>
      <c r="I106" s="136" t="e">
        <f>'D_EU Marinas_Scenario_Calc'!V37</f>
        <v>#DIV/0!</v>
      </c>
      <c r="O106" s="64"/>
    </row>
    <row r="107" spans="1:15" x14ac:dyDescent="0.2">
      <c r="A107" s="64"/>
      <c r="C107" s="61" t="s">
        <v>129</v>
      </c>
      <c r="D107" s="61" t="s">
        <v>12</v>
      </c>
      <c r="E107" s="61" t="s">
        <v>130</v>
      </c>
      <c r="F107" s="136" t="e">
        <f>'D_EU Marinas_Scenario_Calc'!S38</f>
        <v>#DIV/0!</v>
      </c>
      <c r="G107" s="136" t="e">
        <f>'D_EU Marinas_Scenario_Calc'!T38</f>
        <v>#DIV/0!</v>
      </c>
      <c r="H107" s="136" t="e">
        <f>'D_EU Marinas_Scenario_Calc'!U38</f>
        <v>#DIV/0!</v>
      </c>
      <c r="I107" s="136" t="e">
        <f>'D_EU Marinas_Scenario_Calc'!V38</f>
        <v>#DIV/0!</v>
      </c>
      <c r="O107" s="64"/>
    </row>
    <row r="108" spans="1:15" x14ac:dyDescent="0.2">
      <c r="A108" s="64"/>
      <c r="C108" s="61" t="s">
        <v>131</v>
      </c>
      <c r="D108" s="61" t="s">
        <v>12</v>
      </c>
      <c r="E108" s="61" t="s">
        <v>132</v>
      </c>
      <c r="F108" s="136" t="e">
        <f>'D_EU Marinas_Scenario_Calc'!S39</f>
        <v>#DIV/0!</v>
      </c>
      <c r="G108" s="136" t="e">
        <f>'D_EU Marinas_Scenario_Calc'!T39</f>
        <v>#DIV/0!</v>
      </c>
      <c r="H108" s="136" t="e">
        <f>'D_EU Marinas_Scenario_Calc'!U39</f>
        <v>#DIV/0!</v>
      </c>
      <c r="I108" s="136" t="e">
        <f>'D_EU Marinas_Scenario_Calc'!V39</f>
        <v>#DIV/0!</v>
      </c>
      <c r="O108" s="64"/>
    </row>
    <row r="109" spans="1:15" x14ac:dyDescent="0.2">
      <c r="A109" s="64"/>
      <c r="C109" s="61" t="s">
        <v>133</v>
      </c>
      <c r="D109" s="61" t="s">
        <v>12</v>
      </c>
      <c r="E109" s="61" t="s">
        <v>134</v>
      </c>
      <c r="F109" s="136" t="e">
        <f>'D_EU Marinas_Scenario_Calc'!S40</f>
        <v>#DIV/0!</v>
      </c>
      <c r="G109" s="136" t="e">
        <f>'D_EU Marinas_Scenario_Calc'!T40</f>
        <v>#DIV/0!</v>
      </c>
      <c r="H109" s="136" t="e">
        <f>'D_EU Marinas_Scenario_Calc'!U40</f>
        <v>#DIV/0!</v>
      </c>
      <c r="I109" s="136" t="e">
        <f>'D_EU Marinas_Scenario_Calc'!V40</f>
        <v>#DIV/0!</v>
      </c>
      <c r="O109" s="64"/>
    </row>
    <row r="110" spans="1:15" x14ac:dyDescent="0.2">
      <c r="A110" s="64"/>
      <c r="C110" s="61" t="s">
        <v>135</v>
      </c>
      <c r="D110" s="61" t="s">
        <v>12</v>
      </c>
      <c r="E110" s="61" t="s">
        <v>136</v>
      </c>
      <c r="F110" s="136" t="e">
        <f>'D_EU Marinas_Scenario_Calc'!S41</f>
        <v>#DIV/0!</v>
      </c>
      <c r="G110" s="136" t="e">
        <f>'D_EU Marinas_Scenario_Calc'!T41</f>
        <v>#DIV/0!</v>
      </c>
      <c r="H110" s="136" t="e">
        <f>'D_EU Marinas_Scenario_Calc'!U41</f>
        <v>#DIV/0!</v>
      </c>
      <c r="I110" s="136" t="e">
        <f>'D_EU Marinas_Scenario_Calc'!V41</f>
        <v>#DIV/0!</v>
      </c>
      <c r="O110" s="64"/>
    </row>
    <row r="111" spans="1:15" x14ac:dyDescent="0.2">
      <c r="A111" s="64"/>
      <c r="C111" s="61" t="s">
        <v>137</v>
      </c>
      <c r="D111" s="61" t="s">
        <v>12</v>
      </c>
      <c r="E111" s="61" t="s">
        <v>138</v>
      </c>
      <c r="F111" s="136" t="e">
        <f>'D_EU Marinas_Scenario_Calc'!S42</f>
        <v>#DIV/0!</v>
      </c>
      <c r="G111" s="136" t="e">
        <f>'D_EU Marinas_Scenario_Calc'!T42</f>
        <v>#DIV/0!</v>
      </c>
      <c r="H111" s="136" t="e">
        <f>'D_EU Marinas_Scenario_Calc'!U42</f>
        <v>#DIV/0!</v>
      </c>
      <c r="I111" s="136" t="e">
        <f>'D_EU Marinas_Scenario_Calc'!V42</f>
        <v>#DIV/0!</v>
      </c>
      <c r="O111" s="64"/>
    </row>
    <row r="112" spans="1:15" x14ac:dyDescent="0.2">
      <c r="A112" s="64"/>
      <c r="C112" s="61" t="s">
        <v>139</v>
      </c>
      <c r="D112" s="61" t="s">
        <v>12</v>
      </c>
      <c r="E112" s="61" t="s">
        <v>140</v>
      </c>
      <c r="F112" s="136" t="e">
        <f>'D_EU Marinas_Scenario_Calc'!S43</f>
        <v>#DIV/0!</v>
      </c>
      <c r="G112" s="136" t="e">
        <f>'D_EU Marinas_Scenario_Calc'!T43</f>
        <v>#DIV/0!</v>
      </c>
      <c r="H112" s="136" t="e">
        <f>'D_EU Marinas_Scenario_Calc'!U43</f>
        <v>#DIV/0!</v>
      </c>
      <c r="I112" s="136" t="e">
        <f>'D_EU Marinas_Scenario_Calc'!V43</f>
        <v>#DIV/0!</v>
      </c>
      <c r="O112" s="64"/>
    </row>
    <row r="113" spans="1:15" x14ac:dyDescent="0.2">
      <c r="A113" s="64"/>
      <c r="C113" s="61" t="s">
        <v>141</v>
      </c>
      <c r="D113" s="61" t="s">
        <v>13</v>
      </c>
      <c r="E113" s="61">
        <v>1</v>
      </c>
      <c r="F113" s="136" t="e">
        <f>'D_EU Marinas_Scenario_Calc'!S44</f>
        <v>#DIV/0!</v>
      </c>
      <c r="G113" s="136" t="e">
        <f>'D_EU Marinas_Scenario_Calc'!T44</f>
        <v>#DIV/0!</v>
      </c>
      <c r="H113" s="136" t="e">
        <f>'D_EU Marinas_Scenario_Calc'!U44</f>
        <v>#DIV/0!</v>
      </c>
      <c r="I113" s="136" t="e">
        <f>'D_EU Marinas_Scenario_Calc'!V44</f>
        <v>#DIV/0!</v>
      </c>
      <c r="O113" s="64"/>
    </row>
    <row r="114" spans="1:15" x14ac:dyDescent="0.2">
      <c r="A114" s="64"/>
      <c r="C114" s="61" t="s">
        <v>142</v>
      </c>
      <c r="D114" s="61" t="s">
        <v>13</v>
      </c>
      <c r="E114" s="61">
        <v>3</v>
      </c>
      <c r="F114" s="136" t="e">
        <f>'D_EU Marinas_Scenario_Calc'!S45</f>
        <v>#DIV/0!</v>
      </c>
      <c r="G114" s="136" t="e">
        <f>'D_EU Marinas_Scenario_Calc'!T45</f>
        <v>#DIV/0!</v>
      </c>
      <c r="H114" s="136" t="e">
        <f>'D_EU Marinas_Scenario_Calc'!U45</f>
        <v>#DIV/0!</v>
      </c>
      <c r="I114" s="136" t="e">
        <f>'D_EU Marinas_Scenario_Calc'!V45</f>
        <v>#DIV/0!</v>
      </c>
      <c r="O114" s="64"/>
    </row>
    <row r="115" spans="1:15" x14ac:dyDescent="0.2">
      <c r="A115" s="64"/>
      <c r="C115" s="61" t="s">
        <v>143</v>
      </c>
      <c r="D115" s="61" t="s">
        <v>13</v>
      </c>
      <c r="E115" s="61">
        <v>4</v>
      </c>
      <c r="F115" s="136" t="e">
        <f>'D_EU Marinas_Scenario_Calc'!S46</f>
        <v>#DIV/0!</v>
      </c>
      <c r="G115" s="136" t="e">
        <f>'D_EU Marinas_Scenario_Calc'!T46</f>
        <v>#DIV/0!</v>
      </c>
      <c r="H115" s="136" t="e">
        <f>'D_EU Marinas_Scenario_Calc'!U46</f>
        <v>#DIV/0!</v>
      </c>
      <c r="I115" s="136" t="e">
        <f>'D_EU Marinas_Scenario_Calc'!V46</f>
        <v>#DIV/0!</v>
      </c>
      <c r="O115" s="64"/>
    </row>
    <row r="116" spans="1:15" x14ac:dyDescent="0.2">
      <c r="A116" s="64"/>
      <c r="C116" s="61" t="s">
        <v>144</v>
      </c>
      <c r="D116" s="61" t="s">
        <v>13</v>
      </c>
      <c r="E116" s="61">
        <v>6</v>
      </c>
      <c r="F116" s="136" t="e">
        <f>'D_EU Marinas_Scenario_Calc'!S47</f>
        <v>#DIV/0!</v>
      </c>
      <c r="G116" s="136" t="e">
        <f>'D_EU Marinas_Scenario_Calc'!T47</f>
        <v>#DIV/0!</v>
      </c>
      <c r="H116" s="136" t="e">
        <f>'D_EU Marinas_Scenario_Calc'!U47</f>
        <v>#DIV/0!</v>
      </c>
      <c r="I116" s="136" t="e">
        <f>'D_EU Marinas_Scenario_Calc'!V47</f>
        <v>#DIV/0!</v>
      </c>
      <c r="O116" s="64"/>
    </row>
    <row r="117" spans="1:15" x14ac:dyDescent="0.2">
      <c r="A117" s="64"/>
      <c r="C117" s="61" t="s">
        <v>145</v>
      </c>
      <c r="D117" s="61" t="s">
        <v>13</v>
      </c>
      <c r="E117" s="61">
        <v>7</v>
      </c>
      <c r="F117" s="136" t="e">
        <f>'D_EU Marinas_Scenario_Calc'!S48</f>
        <v>#DIV/0!</v>
      </c>
      <c r="G117" s="136" t="e">
        <f>'D_EU Marinas_Scenario_Calc'!T48</f>
        <v>#DIV/0!</v>
      </c>
      <c r="H117" s="136" t="e">
        <f>'D_EU Marinas_Scenario_Calc'!U48</f>
        <v>#DIV/0!</v>
      </c>
      <c r="I117" s="136" t="e">
        <f>'D_EU Marinas_Scenario_Calc'!V48</f>
        <v>#DIV/0!</v>
      </c>
      <c r="O117" s="64"/>
    </row>
    <row r="118" spans="1:15" x14ac:dyDescent="0.2">
      <c r="A118" s="64"/>
      <c r="C118" s="61" t="s">
        <v>146</v>
      </c>
      <c r="D118" s="61" t="s">
        <v>13</v>
      </c>
      <c r="E118" s="61">
        <v>8</v>
      </c>
      <c r="F118" s="136" t="e">
        <f>'D_EU Marinas_Scenario_Calc'!S49</f>
        <v>#DIV/0!</v>
      </c>
      <c r="G118" s="136" t="e">
        <f>'D_EU Marinas_Scenario_Calc'!T49</f>
        <v>#DIV/0!</v>
      </c>
      <c r="H118" s="136" t="e">
        <f>'D_EU Marinas_Scenario_Calc'!U49</f>
        <v>#DIV/0!</v>
      </c>
      <c r="I118" s="136" t="e">
        <f>'D_EU Marinas_Scenario_Calc'!V49</f>
        <v>#DIV/0!</v>
      </c>
      <c r="O118" s="64"/>
    </row>
    <row r="119" spans="1:15" x14ac:dyDescent="0.2">
      <c r="A119" s="64"/>
      <c r="C119" s="61" t="s">
        <v>147</v>
      </c>
      <c r="D119" s="61" t="s">
        <v>13</v>
      </c>
      <c r="E119" s="61">
        <v>14</v>
      </c>
      <c r="F119" s="136" t="e">
        <f>'D_EU Marinas_Scenario_Calc'!S50</f>
        <v>#DIV/0!</v>
      </c>
      <c r="G119" s="136" t="e">
        <f>'D_EU Marinas_Scenario_Calc'!T50</f>
        <v>#DIV/0!</v>
      </c>
      <c r="H119" s="136" t="e">
        <f>'D_EU Marinas_Scenario_Calc'!U50</f>
        <v>#DIV/0!</v>
      </c>
      <c r="I119" s="136" t="e">
        <f>'D_EU Marinas_Scenario_Calc'!V50</f>
        <v>#DIV/0!</v>
      </c>
      <c r="O119" s="64"/>
    </row>
    <row r="120" spans="1:15" x14ac:dyDescent="0.2">
      <c r="A120" s="64"/>
      <c r="C120" s="61" t="s">
        <v>148</v>
      </c>
      <c r="D120" s="61" t="s">
        <v>13</v>
      </c>
      <c r="E120" s="61">
        <v>17</v>
      </c>
      <c r="F120" s="136" t="e">
        <f>'D_EU Marinas_Scenario_Calc'!S51</f>
        <v>#DIV/0!</v>
      </c>
      <c r="G120" s="136" t="e">
        <f>'D_EU Marinas_Scenario_Calc'!T51</f>
        <v>#DIV/0!</v>
      </c>
      <c r="H120" s="136" t="e">
        <f>'D_EU Marinas_Scenario_Calc'!U51</f>
        <v>#DIV/0!</v>
      </c>
      <c r="I120" s="136" t="e">
        <f>'D_EU Marinas_Scenario_Calc'!V51</f>
        <v>#DIV/0!</v>
      </c>
      <c r="O120" s="64"/>
    </row>
    <row r="121" spans="1:15" x14ac:dyDescent="0.2">
      <c r="A121" s="64"/>
      <c r="C121" s="61" t="s">
        <v>149</v>
      </c>
      <c r="D121" s="61" t="s">
        <v>13</v>
      </c>
      <c r="E121" s="61">
        <v>21</v>
      </c>
      <c r="F121" s="136" t="e">
        <f>'D_EU Marinas_Scenario_Calc'!S52</f>
        <v>#DIV/0!</v>
      </c>
      <c r="G121" s="136" t="e">
        <f>'D_EU Marinas_Scenario_Calc'!T52</f>
        <v>#DIV/0!</v>
      </c>
      <c r="H121" s="136" t="e">
        <f>'D_EU Marinas_Scenario_Calc'!U52</f>
        <v>#DIV/0!</v>
      </c>
      <c r="I121" s="136" t="e">
        <f>'D_EU Marinas_Scenario_Calc'!V52</f>
        <v>#DIV/0!</v>
      </c>
      <c r="O121" s="64"/>
    </row>
    <row r="122" spans="1:15" x14ac:dyDescent="0.2">
      <c r="A122" s="64"/>
      <c r="C122" s="61" t="s">
        <v>150</v>
      </c>
      <c r="D122" s="61" t="s">
        <v>13</v>
      </c>
      <c r="E122" s="61">
        <v>26</v>
      </c>
      <c r="F122" s="136" t="e">
        <f>'D_EU Marinas_Scenario_Calc'!S53</f>
        <v>#DIV/0!</v>
      </c>
      <c r="G122" s="136" t="e">
        <f>'D_EU Marinas_Scenario_Calc'!T53</f>
        <v>#DIV/0!</v>
      </c>
      <c r="H122" s="136" t="e">
        <f>'D_EU Marinas_Scenario_Calc'!U53</f>
        <v>#DIV/0!</v>
      </c>
      <c r="I122" s="136" t="e">
        <f>'D_EU Marinas_Scenario_Calc'!V53</f>
        <v>#DIV/0!</v>
      </c>
      <c r="O122" s="64"/>
    </row>
    <row r="123" spans="1:15" x14ac:dyDescent="0.2">
      <c r="A123" s="64"/>
      <c r="C123" s="61" t="s">
        <v>151</v>
      </c>
      <c r="D123" s="61" t="s">
        <v>13</v>
      </c>
      <c r="E123" s="61">
        <v>30</v>
      </c>
      <c r="F123" s="136" t="e">
        <f>'D_EU Marinas_Scenario_Calc'!S54</f>
        <v>#DIV/0!</v>
      </c>
      <c r="G123" s="136" t="e">
        <f>'D_EU Marinas_Scenario_Calc'!T54</f>
        <v>#DIV/0!</v>
      </c>
      <c r="H123" s="136" t="e">
        <f>'D_EU Marinas_Scenario_Calc'!U54</f>
        <v>#DIV/0!</v>
      </c>
      <c r="I123" s="136" t="e">
        <f>'D_EU Marinas_Scenario_Calc'!V54</f>
        <v>#DIV/0!</v>
      </c>
      <c r="O123" s="64"/>
    </row>
    <row r="124" spans="1:15" x14ac:dyDescent="0.2">
      <c r="A124" s="64"/>
      <c r="C124" s="61" t="s">
        <v>152</v>
      </c>
      <c r="D124" s="61" t="s">
        <v>13</v>
      </c>
      <c r="E124" s="61">
        <v>34</v>
      </c>
      <c r="F124" s="136" t="e">
        <f>'D_EU Marinas_Scenario_Calc'!S55</f>
        <v>#DIV/0!</v>
      </c>
      <c r="G124" s="136" t="e">
        <f>'D_EU Marinas_Scenario_Calc'!T55</f>
        <v>#DIV/0!</v>
      </c>
      <c r="H124" s="136" t="e">
        <f>'D_EU Marinas_Scenario_Calc'!U55</f>
        <v>#DIV/0!</v>
      </c>
      <c r="I124" s="136" t="e">
        <f>'D_EU Marinas_Scenario_Calc'!V55</f>
        <v>#DIV/0!</v>
      </c>
      <c r="O124" s="64"/>
    </row>
    <row r="125" spans="1:15" x14ac:dyDescent="0.2">
      <c r="A125" s="64"/>
      <c r="C125" s="61" t="s">
        <v>153</v>
      </c>
      <c r="D125" s="61" t="s">
        <v>13</v>
      </c>
      <c r="E125" s="61">
        <v>40</v>
      </c>
      <c r="F125" s="136" t="e">
        <f>'D_EU Marinas_Scenario_Calc'!S56</f>
        <v>#DIV/0!</v>
      </c>
      <c r="G125" s="136" t="e">
        <f>'D_EU Marinas_Scenario_Calc'!T56</f>
        <v>#DIV/0!</v>
      </c>
      <c r="H125" s="136" t="e">
        <f>'D_EU Marinas_Scenario_Calc'!U56</f>
        <v>#DIV/0!</v>
      </c>
      <c r="I125" s="136" t="e">
        <f>'D_EU Marinas_Scenario_Calc'!V56</f>
        <v>#DIV/0!</v>
      </c>
      <c r="O125" s="64"/>
    </row>
    <row r="126" spans="1:15" x14ac:dyDescent="0.2">
      <c r="A126" s="64"/>
      <c r="C126" s="61" t="s">
        <v>154</v>
      </c>
      <c r="D126" s="61" t="s">
        <v>13</v>
      </c>
      <c r="E126" s="61">
        <v>42</v>
      </c>
      <c r="F126" s="136" t="e">
        <f>'D_EU Marinas_Scenario_Calc'!S57</f>
        <v>#DIV/0!</v>
      </c>
      <c r="G126" s="136" t="e">
        <f>'D_EU Marinas_Scenario_Calc'!T57</f>
        <v>#DIV/0!</v>
      </c>
      <c r="H126" s="136" t="e">
        <f>'D_EU Marinas_Scenario_Calc'!U57</f>
        <v>#DIV/0!</v>
      </c>
      <c r="I126" s="136" t="e">
        <f>'D_EU Marinas_Scenario_Calc'!V57</f>
        <v>#DIV/0!</v>
      </c>
      <c r="O126" s="64"/>
    </row>
    <row r="127" spans="1:15" x14ac:dyDescent="0.2">
      <c r="A127" s="64"/>
      <c r="C127" s="61" t="s">
        <v>155</v>
      </c>
      <c r="D127" s="61" t="s">
        <v>13</v>
      </c>
      <c r="E127" s="61">
        <v>44</v>
      </c>
      <c r="F127" s="136" t="e">
        <f>'D_EU Marinas_Scenario_Calc'!S58</f>
        <v>#DIV/0!</v>
      </c>
      <c r="G127" s="136" t="e">
        <f>'D_EU Marinas_Scenario_Calc'!T58</f>
        <v>#DIV/0!</v>
      </c>
      <c r="H127" s="136" t="e">
        <f>'D_EU Marinas_Scenario_Calc'!U58</f>
        <v>#DIV/0!</v>
      </c>
      <c r="I127" s="136" t="e">
        <f>'D_EU Marinas_Scenario_Calc'!V58</f>
        <v>#DIV/0!</v>
      </c>
      <c r="O127" s="64"/>
    </row>
    <row r="128" spans="1:15" x14ac:dyDescent="0.2">
      <c r="A128" s="64"/>
      <c r="C128" s="61" t="s">
        <v>156</v>
      </c>
      <c r="D128" s="61" t="s">
        <v>13</v>
      </c>
      <c r="E128" s="61">
        <v>45</v>
      </c>
      <c r="F128" s="136" t="e">
        <f>'D_EU Marinas_Scenario_Calc'!S59</f>
        <v>#DIV/0!</v>
      </c>
      <c r="G128" s="136" t="e">
        <f>'D_EU Marinas_Scenario_Calc'!T59</f>
        <v>#DIV/0!</v>
      </c>
      <c r="H128" s="136" t="e">
        <f>'D_EU Marinas_Scenario_Calc'!U59</f>
        <v>#DIV/0!</v>
      </c>
      <c r="I128" s="136" t="e">
        <f>'D_EU Marinas_Scenario_Calc'!V59</f>
        <v>#DIV/0!</v>
      </c>
      <c r="O128" s="64"/>
    </row>
    <row r="129" spans="1:15" x14ac:dyDescent="0.2">
      <c r="A129" s="64"/>
      <c r="C129" s="61" t="s">
        <v>157</v>
      </c>
      <c r="D129" s="61" t="s">
        <v>13</v>
      </c>
      <c r="E129" s="61">
        <v>46</v>
      </c>
      <c r="F129" s="136" t="e">
        <f>'D_EU Marinas_Scenario_Calc'!S60</f>
        <v>#DIV/0!</v>
      </c>
      <c r="G129" s="136" t="e">
        <f>'D_EU Marinas_Scenario_Calc'!T60</f>
        <v>#DIV/0!</v>
      </c>
      <c r="H129" s="136" t="e">
        <f>'D_EU Marinas_Scenario_Calc'!U60</f>
        <v>#DIV/0!</v>
      </c>
      <c r="I129" s="136" t="e">
        <f>'D_EU Marinas_Scenario_Calc'!V60</f>
        <v>#DIV/0!</v>
      </c>
      <c r="O129" s="64"/>
    </row>
    <row r="130" spans="1:15" x14ac:dyDescent="0.2">
      <c r="A130" s="64"/>
      <c r="C130" s="61" t="s">
        <v>158</v>
      </c>
      <c r="D130" s="61" t="s">
        <v>13</v>
      </c>
      <c r="E130" s="61">
        <v>48</v>
      </c>
      <c r="F130" s="136" t="e">
        <f>'D_EU Marinas_Scenario_Calc'!S61</f>
        <v>#DIV/0!</v>
      </c>
      <c r="G130" s="136" t="e">
        <f>'D_EU Marinas_Scenario_Calc'!T61</f>
        <v>#DIV/0!</v>
      </c>
      <c r="H130" s="136" t="e">
        <f>'D_EU Marinas_Scenario_Calc'!U61</f>
        <v>#DIV/0!</v>
      </c>
      <c r="I130" s="136" t="e">
        <f>'D_EU Marinas_Scenario_Calc'!V61</f>
        <v>#DIV/0!</v>
      </c>
      <c r="O130" s="64"/>
    </row>
    <row r="131" spans="1:15" x14ac:dyDescent="0.2">
      <c r="A131" s="64"/>
      <c r="C131" s="61" t="s">
        <v>159</v>
      </c>
      <c r="D131" s="61" t="s">
        <v>160</v>
      </c>
      <c r="E131" s="61">
        <v>1</v>
      </c>
      <c r="F131" s="136" t="e">
        <f>'D_EU Marinas_Scenario_Calc'!S62</f>
        <v>#DIV/0!</v>
      </c>
      <c r="G131" s="136" t="e">
        <f>'D_EU Marinas_Scenario_Calc'!T62</f>
        <v>#DIV/0!</v>
      </c>
      <c r="H131" s="136" t="e">
        <f>'D_EU Marinas_Scenario_Calc'!U62</f>
        <v>#DIV/0!</v>
      </c>
      <c r="I131" s="136" t="e">
        <f>'D_EU Marinas_Scenario_Calc'!V62</f>
        <v>#DIV/0!</v>
      </c>
      <c r="O131" s="64"/>
    </row>
    <row r="132" spans="1:15" x14ac:dyDescent="0.2">
      <c r="A132" s="64"/>
      <c r="C132" s="61" t="s">
        <v>161</v>
      </c>
      <c r="D132" s="61" t="s">
        <v>160</v>
      </c>
      <c r="E132" s="61">
        <v>2</v>
      </c>
      <c r="F132" s="136" t="e">
        <f>'D_EU Marinas_Scenario_Calc'!S63</f>
        <v>#DIV/0!</v>
      </c>
      <c r="G132" s="136" t="e">
        <f>'D_EU Marinas_Scenario_Calc'!T63</f>
        <v>#DIV/0!</v>
      </c>
      <c r="H132" s="136" t="e">
        <f>'D_EU Marinas_Scenario_Calc'!U63</f>
        <v>#DIV/0!</v>
      </c>
      <c r="I132" s="136" t="e">
        <f>'D_EU Marinas_Scenario_Calc'!V63</f>
        <v>#DIV/0!</v>
      </c>
      <c r="O132" s="64"/>
    </row>
    <row r="133" spans="1:15" x14ac:dyDescent="0.2">
      <c r="A133" s="64"/>
      <c r="C133" s="61" t="s">
        <v>162</v>
      </c>
      <c r="D133" s="61" t="s">
        <v>160</v>
      </c>
      <c r="E133" s="61">
        <v>3</v>
      </c>
      <c r="F133" s="136" t="e">
        <f>'D_EU Marinas_Scenario_Calc'!S64</f>
        <v>#DIV/0!</v>
      </c>
      <c r="G133" s="136" t="e">
        <f>'D_EU Marinas_Scenario_Calc'!T64</f>
        <v>#DIV/0!</v>
      </c>
      <c r="H133" s="136" t="e">
        <f>'D_EU Marinas_Scenario_Calc'!U64</f>
        <v>#DIV/0!</v>
      </c>
      <c r="I133" s="136" t="e">
        <f>'D_EU Marinas_Scenario_Calc'!V64</f>
        <v>#DIV/0!</v>
      </c>
      <c r="O133" s="64"/>
    </row>
    <row r="134" spans="1:15" x14ac:dyDescent="0.2">
      <c r="A134" s="64"/>
      <c r="C134" s="61" t="s">
        <v>163</v>
      </c>
      <c r="D134" s="61" t="s">
        <v>160</v>
      </c>
      <c r="E134" s="61">
        <v>4</v>
      </c>
      <c r="F134" s="136" t="e">
        <f>'D_EU Marinas_Scenario_Calc'!S65</f>
        <v>#DIV/0!</v>
      </c>
      <c r="G134" s="136" t="e">
        <f>'D_EU Marinas_Scenario_Calc'!T65</f>
        <v>#DIV/0!</v>
      </c>
      <c r="H134" s="136" t="e">
        <f>'D_EU Marinas_Scenario_Calc'!U65</f>
        <v>#DIV/0!</v>
      </c>
      <c r="I134" s="136" t="e">
        <f>'D_EU Marinas_Scenario_Calc'!V65</f>
        <v>#DIV/0!</v>
      </c>
      <c r="O134" s="64"/>
    </row>
    <row r="135" spans="1:15" x14ac:dyDescent="0.2">
      <c r="A135" s="64"/>
      <c r="C135" s="61" t="s">
        <v>164</v>
      </c>
      <c r="D135" s="61" t="s">
        <v>160</v>
      </c>
      <c r="E135" s="61">
        <v>5</v>
      </c>
      <c r="F135" s="136" t="e">
        <f>'D_EU Marinas_Scenario_Calc'!S66</f>
        <v>#DIV/0!</v>
      </c>
      <c r="G135" s="136" t="e">
        <f>'D_EU Marinas_Scenario_Calc'!T66</f>
        <v>#DIV/0!</v>
      </c>
      <c r="H135" s="136" t="e">
        <f>'D_EU Marinas_Scenario_Calc'!U66</f>
        <v>#DIV/0!</v>
      </c>
      <c r="I135" s="136" t="e">
        <f>'D_EU Marinas_Scenario_Calc'!V66</f>
        <v>#DIV/0!</v>
      </c>
      <c r="O135" s="64"/>
    </row>
    <row r="136" spans="1:15" x14ac:dyDescent="0.2">
      <c r="A136" s="64"/>
      <c r="C136" s="180" t="s">
        <v>172</v>
      </c>
      <c r="D136" s="180"/>
      <c r="E136" s="180"/>
      <c r="F136" s="136" t="e">
        <f>'D_Regulatory_ Marinas_Calc'!Q21</f>
        <v>#DIV/0!</v>
      </c>
      <c r="G136" s="136" t="e">
        <f>'D_Regulatory_ Marinas_Calc'!R21</f>
        <v>#DIV/0!</v>
      </c>
      <c r="H136" s="136" t="e">
        <f>'D_Regulatory_ Marinas_Calc'!S21</f>
        <v>#DIV/0!</v>
      </c>
      <c r="I136" s="136" t="e">
        <f>'D_Regulatory_ Marinas_Calc'!T21</f>
        <v>#DIV/0!</v>
      </c>
      <c r="O136" s="64"/>
    </row>
    <row r="137" spans="1:15" x14ac:dyDescent="0.2">
      <c r="A137" s="64"/>
      <c r="C137" s="180" t="s">
        <v>173</v>
      </c>
      <c r="D137" s="180"/>
      <c r="E137" s="180"/>
      <c r="F137" s="136" t="e">
        <f>'D_Regulatory_ Marinas_Calc'!Q22</f>
        <v>#DIV/0!</v>
      </c>
      <c r="G137" s="136" t="e">
        <f>'D_Regulatory_ Marinas_Calc'!R22</f>
        <v>#DIV/0!</v>
      </c>
      <c r="H137" s="136" t="e">
        <f>'D_Regulatory_ Marinas_Calc'!S22</f>
        <v>#DIV/0!</v>
      </c>
      <c r="I137" s="136" t="e">
        <f>'D_Regulatory_ Marinas_Calc'!T22</f>
        <v>#DIV/0!</v>
      </c>
      <c r="O137" s="64"/>
    </row>
    <row r="138" spans="1:15" x14ac:dyDescent="0.2">
      <c r="A138" s="64"/>
      <c r="B138" s="91"/>
      <c r="O138" s="64"/>
    </row>
    <row r="139" spans="1:15" x14ac:dyDescent="0.2">
      <c r="A139" s="64"/>
      <c r="B139" s="64"/>
      <c r="C139" s="64"/>
      <c r="D139" s="64"/>
      <c r="E139" s="64"/>
      <c r="F139" s="64"/>
      <c r="G139" s="64"/>
      <c r="H139" s="64"/>
      <c r="I139" s="64"/>
      <c r="J139" s="64"/>
      <c r="K139" s="64"/>
      <c r="L139" s="64"/>
      <c r="M139" s="64"/>
      <c r="N139" s="64"/>
      <c r="O139" s="64"/>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137:E137"/>
    <mergeCell ref="C19:F19"/>
    <mergeCell ref="C21:G21"/>
    <mergeCell ref="C28:E28"/>
    <mergeCell ref="C29:E29"/>
    <mergeCell ref="C30:E30"/>
    <mergeCell ref="C31:E31"/>
    <mergeCell ref="D37:E37"/>
    <mergeCell ref="C84:E84"/>
    <mergeCell ref="C85:E85"/>
    <mergeCell ref="D89:E89"/>
    <mergeCell ref="C136:E136"/>
    <mergeCell ref="C18:F18"/>
    <mergeCell ref="C9:G9"/>
    <mergeCell ref="C11:G11"/>
    <mergeCell ref="C15:G15"/>
    <mergeCell ref="C16:F16"/>
    <mergeCell ref="C17:F17"/>
  </mergeCells>
  <conditionalFormatting sqref="F90:I137">
    <cfRule type="cellIs" dxfId="18" priority="1" operator="greaterThan">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9"/>
  <sheetViews>
    <sheetView zoomScale="90" zoomScaleNormal="90" workbookViewId="0"/>
  </sheetViews>
  <sheetFormatPr defaultRowHeight="12.75" x14ac:dyDescent="0.2"/>
  <cols>
    <col min="1" max="1" width="9" style="3"/>
    <col min="2" max="2" width="22.625" style="3" customWidth="1"/>
    <col min="3" max="3" width="3.875" style="129" customWidth="1"/>
    <col min="4" max="4" width="6.375" style="3" customWidth="1"/>
    <col min="5" max="5" width="25.625" style="3" customWidth="1"/>
    <col min="6" max="13" width="11.625" style="3" customWidth="1"/>
    <col min="14" max="16384" width="9" style="3"/>
  </cols>
  <sheetData>
    <row r="2" spans="2:14" ht="21" thickBot="1" x14ac:dyDescent="0.35">
      <c r="B2" s="188" t="s">
        <v>103</v>
      </c>
      <c r="C2" s="188"/>
      <c r="D2" s="188"/>
      <c r="E2" s="188"/>
      <c r="F2" s="188"/>
      <c r="G2" s="188"/>
      <c r="H2" s="188"/>
      <c r="I2" s="188"/>
      <c r="J2" s="188"/>
      <c r="K2" s="188"/>
      <c r="L2" s="188"/>
      <c r="M2" s="188"/>
      <c r="N2" s="188"/>
    </row>
    <row r="3" spans="2:14" ht="13.5" thickTop="1" x14ac:dyDescent="0.2">
      <c r="B3" s="145" t="str">
        <f>Tooltype</f>
        <v>Freshwater calculator tool</v>
      </c>
      <c r="C3" s="128"/>
      <c r="D3"/>
      <c r="E3"/>
      <c r="F3"/>
      <c r="G3"/>
      <c r="H3"/>
      <c r="I3"/>
      <c r="J3"/>
      <c r="K3"/>
      <c r="L3"/>
      <c r="M3"/>
    </row>
    <row r="4" spans="2:14" ht="15" x14ac:dyDescent="0.2">
      <c r="B4" s="190" t="s">
        <v>88</v>
      </c>
      <c r="C4" s="190"/>
      <c r="D4" s="190"/>
      <c r="E4" s="190"/>
      <c r="F4" s="190"/>
      <c r="G4" s="190"/>
      <c r="H4" s="63"/>
      <c r="I4" s="63"/>
      <c r="J4" s="63"/>
      <c r="K4" s="63"/>
      <c r="L4" s="63"/>
      <c r="M4" s="63"/>
    </row>
    <row r="5" spans="2:14" x14ac:dyDescent="0.2">
      <c r="B5" s="189" t="s">
        <v>201</v>
      </c>
      <c r="C5" s="189"/>
      <c r="D5" s="189"/>
      <c r="E5" s="189"/>
      <c r="F5" s="189"/>
      <c r="G5" s="104">
        <f>Z_PNEC_Aquatic_Inside</f>
        <v>0.219</v>
      </c>
      <c r="I5"/>
      <c r="J5"/>
      <c r="K5"/>
      <c r="L5"/>
      <c r="M5"/>
    </row>
    <row r="6" spans="2:14" x14ac:dyDescent="0.2">
      <c r="B6" s="189" t="s">
        <v>202</v>
      </c>
      <c r="C6" s="189"/>
      <c r="D6" s="189"/>
      <c r="E6" s="189"/>
      <c r="F6" s="189"/>
      <c r="G6" s="104">
        <f>Z_PNEC_Sediment_Inside</f>
        <v>4.5499999999999999E-2</v>
      </c>
      <c r="I6"/>
      <c r="J6"/>
      <c r="K6"/>
      <c r="L6"/>
      <c r="M6"/>
    </row>
    <row r="7" spans="2:14" x14ac:dyDescent="0.2">
      <c r="B7" s="189" t="s">
        <v>203</v>
      </c>
      <c r="C7" s="189"/>
      <c r="D7" s="189"/>
      <c r="E7" s="189"/>
      <c r="F7" s="189"/>
      <c r="G7" s="104">
        <f>Z_PNEC_Aquatic_Surrounding</f>
        <v>0.219</v>
      </c>
      <c r="I7"/>
      <c r="J7"/>
      <c r="K7"/>
      <c r="L7"/>
      <c r="M7"/>
    </row>
    <row r="8" spans="2:14" x14ac:dyDescent="0.2">
      <c r="B8" s="189" t="s">
        <v>204</v>
      </c>
      <c r="C8" s="189"/>
      <c r="D8" s="189"/>
      <c r="E8" s="189"/>
      <c r="F8" s="189"/>
      <c r="G8" s="104">
        <f>Z_PNEC_Sediment_Surrounding</f>
        <v>4.5499999999999999E-2</v>
      </c>
      <c r="I8"/>
      <c r="J8"/>
      <c r="K8"/>
      <c r="L8"/>
      <c r="M8"/>
    </row>
    <row r="9" spans="2:14" x14ac:dyDescent="0.2">
      <c r="J9" s="91"/>
      <c r="K9" s="91"/>
      <c r="L9" s="91"/>
      <c r="M9" s="91"/>
    </row>
    <row r="10" spans="2:14" ht="15" x14ac:dyDescent="0.2">
      <c r="B10" s="168" t="s">
        <v>64</v>
      </c>
      <c r="C10" s="168"/>
      <c r="D10" s="168"/>
      <c r="E10" s="168"/>
      <c r="F10" s="168"/>
      <c r="G10" s="168"/>
      <c r="H10" s="168"/>
      <c r="I10" s="168"/>
      <c r="J10" s="91"/>
      <c r="K10" s="91"/>
      <c r="L10" s="91"/>
      <c r="M10" s="91"/>
    </row>
    <row r="11" spans="2:14" ht="99.95" customHeight="1" x14ac:dyDescent="0.2">
      <c r="B11" s="102" t="s">
        <v>9</v>
      </c>
      <c r="C11" s="93" t="s">
        <v>187</v>
      </c>
      <c r="D11" s="93" t="s">
        <v>186</v>
      </c>
      <c r="E11" s="102" t="s">
        <v>11</v>
      </c>
      <c r="F11" s="13" t="s">
        <v>209</v>
      </c>
      <c r="G11" s="13" t="s">
        <v>210</v>
      </c>
      <c r="H11" s="13" t="s">
        <v>211</v>
      </c>
      <c r="I11" s="13" t="s">
        <v>212</v>
      </c>
      <c r="J11" s="91"/>
      <c r="K11" s="91"/>
      <c r="L11" s="91"/>
      <c r="M11" s="91"/>
    </row>
    <row r="12" spans="2:14" ht="14.25" x14ac:dyDescent="0.2">
      <c r="B12" s="103" t="s">
        <v>106</v>
      </c>
      <c r="C12" s="130" t="s">
        <v>107</v>
      </c>
      <c r="D12" s="75">
        <v>1</v>
      </c>
      <c r="E12" s="122" t="str">
        <f t="shared" ref="E12:E57" si="0">Substance</f>
        <v>Zineb and DIDT</v>
      </c>
      <c r="F12" s="76" t="e">
        <f>'Z+D_EU Marinas_Scenario_Calc'!F7</f>
        <v>#DIV/0!</v>
      </c>
      <c r="G12" s="76" t="e">
        <f>'Z+D_EU Marinas_Scenario_Calc'!G7</f>
        <v>#DIV/0!</v>
      </c>
      <c r="H12" s="76" t="e">
        <f>'Z+D_EU Marinas_Scenario_Calc'!H7</f>
        <v>#DIV/0!</v>
      </c>
      <c r="I12" s="76" t="e">
        <f>'Z+D_EU Marinas_Scenario_Calc'!I7</f>
        <v>#DIV/0!</v>
      </c>
      <c r="J12" s="91"/>
      <c r="K12" s="91"/>
      <c r="L12" s="91"/>
      <c r="M12" s="91"/>
    </row>
    <row r="13" spans="2:14" ht="14.25" x14ac:dyDescent="0.2">
      <c r="B13" s="103" t="s">
        <v>108</v>
      </c>
      <c r="C13" s="130" t="s">
        <v>107</v>
      </c>
      <c r="D13" s="75">
        <v>2</v>
      </c>
      <c r="E13" s="122" t="str">
        <f t="shared" si="0"/>
        <v>Zineb and DIDT</v>
      </c>
      <c r="F13" s="76" t="e">
        <f>'Z+D_EU Marinas_Scenario_Calc'!F8</f>
        <v>#DIV/0!</v>
      </c>
      <c r="G13" s="76" t="e">
        <f>'Z+D_EU Marinas_Scenario_Calc'!G8</f>
        <v>#DIV/0!</v>
      </c>
      <c r="H13" s="76" t="e">
        <f>'Z+D_EU Marinas_Scenario_Calc'!H8</f>
        <v>#DIV/0!</v>
      </c>
      <c r="I13" s="76" t="e">
        <f>'Z+D_EU Marinas_Scenario_Calc'!I8</f>
        <v>#DIV/0!</v>
      </c>
      <c r="J13" s="91"/>
      <c r="K13" s="91"/>
      <c r="L13" s="91"/>
      <c r="M13" s="91"/>
    </row>
    <row r="14" spans="2:14" ht="14.25" x14ac:dyDescent="0.2">
      <c r="B14" s="103" t="s">
        <v>109</v>
      </c>
      <c r="C14" s="130" t="s">
        <v>107</v>
      </c>
      <c r="D14" s="75">
        <v>3</v>
      </c>
      <c r="E14" s="122" t="str">
        <f t="shared" si="0"/>
        <v>Zineb and DIDT</v>
      </c>
      <c r="F14" s="76" t="e">
        <f>'Z+D_EU Marinas_Scenario_Calc'!F9</f>
        <v>#DIV/0!</v>
      </c>
      <c r="G14" s="76" t="e">
        <f>'Z+D_EU Marinas_Scenario_Calc'!G9</f>
        <v>#DIV/0!</v>
      </c>
      <c r="H14" s="76" t="e">
        <f>'Z+D_EU Marinas_Scenario_Calc'!H9</f>
        <v>#DIV/0!</v>
      </c>
      <c r="I14" s="76" t="e">
        <f>'Z+D_EU Marinas_Scenario_Calc'!I9</f>
        <v>#DIV/0!</v>
      </c>
      <c r="J14" s="91"/>
      <c r="K14" s="91"/>
      <c r="L14" s="91"/>
      <c r="M14" s="91"/>
    </row>
    <row r="15" spans="2:14" ht="14.25" x14ac:dyDescent="0.2">
      <c r="B15" s="103" t="s">
        <v>110</v>
      </c>
      <c r="C15" s="130" t="s">
        <v>107</v>
      </c>
      <c r="D15" s="75">
        <v>4</v>
      </c>
      <c r="E15" s="122" t="str">
        <f t="shared" si="0"/>
        <v>Zineb and DIDT</v>
      </c>
      <c r="F15" s="76" t="e">
        <f>'Z+D_EU Marinas_Scenario_Calc'!F10</f>
        <v>#DIV/0!</v>
      </c>
      <c r="G15" s="76" t="e">
        <f>'Z+D_EU Marinas_Scenario_Calc'!G10</f>
        <v>#DIV/0!</v>
      </c>
      <c r="H15" s="76" t="e">
        <f>'Z+D_EU Marinas_Scenario_Calc'!H10</f>
        <v>#DIV/0!</v>
      </c>
      <c r="I15" s="76" t="e">
        <f>'Z+D_EU Marinas_Scenario_Calc'!I10</f>
        <v>#DIV/0!</v>
      </c>
      <c r="J15" s="91"/>
      <c r="K15" s="91"/>
      <c r="L15" s="91"/>
      <c r="M15" s="91"/>
    </row>
    <row r="16" spans="2:14" ht="14.25" x14ac:dyDescent="0.2">
      <c r="B16" s="103" t="s">
        <v>111</v>
      </c>
      <c r="C16" s="130" t="s">
        <v>107</v>
      </c>
      <c r="D16" s="75">
        <v>5</v>
      </c>
      <c r="E16" s="122" t="str">
        <f t="shared" si="0"/>
        <v>Zineb and DIDT</v>
      </c>
      <c r="F16" s="76" t="e">
        <f>'Z+D_EU Marinas_Scenario_Calc'!F11</f>
        <v>#DIV/0!</v>
      </c>
      <c r="G16" s="76" t="e">
        <f>'Z+D_EU Marinas_Scenario_Calc'!G11</f>
        <v>#DIV/0!</v>
      </c>
      <c r="H16" s="76" t="e">
        <f>'Z+D_EU Marinas_Scenario_Calc'!H11</f>
        <v>#DIV/0!</v>
      </c>
      <c r="I16" s="76" t="e">
        <f>'Z+D_EU Marinas_Scenario_Calc'!I11</f>
        <v>#DIV/0!</v>
      </c>
      <c r="J16" s="91"/>
      <c r="K16" s="91"/>
      <c r="L16" s="91"/>
      <c r="M16" s="91"/>
    </row>
    <row r="17" spans="2:13" ht="14.25" x14ac:dyDescent="0.2">
      <c r="B17" s="103" t="s">
        <v>112</v>
      </c>
      <c r="C17" s="130" t="s">
        <v>107</v>
      </c>
      <c r="D17" s="75">
        <v>6</v>
      </c>
      <c r="E17" s="122" t="str">
        <f t="shared" si="0"/>
        <v>Zineb and DIDT</v>
      </c>
      <c r="F17" s="76" t="e">
        <f>'Z+D_EU Marinas_Scenario_Calc'!F12</f>
        <v>#DIV/0!</v>
      </c>
      <c r="G17" s="76" t="e">
        <f>'Z+D_EU Marinas_Scenario_Calc'!G12</f>
        <v>#DIV/0!</v>
      </c>
      <c r="H17" s="76" t="e">
        <f>'Z+D_EU Marinas_Scenario_Calc'!H12</f>
        <v>#DIV/0!</v>
      </c>
      <c r="I17" s="76" t="e">
        <f>'Z+D_EU Marinas_Scenario_Calc'!I12</f>
        <v>#DIV/0!</v>
      </c>
      <c r="J17" s="91"/>
      <c r="K17" s="91"/>
      <c r="L17" s="91"/>
      <c r="M17" s="91"/>
    </row>
    <row r="18" spans="2:13" ht="14.25" x14ac:dyDescent="0.2">
      <c r="B18" s="103" t="s">
        <v>113</v>
      </c>
      <c r="C18" s="130" t="s">
        <v>107</v>
      </c>
      <c r="D18" s="75">
        <v>7</v>
      </c>
      <c r="E18" s="122" t="str">
        <f t="shared" si="0"/>
        <v>Zineb and DIDT</v>
      </c>
      <c r="F18" s="76" t="e">
        <f>'Z+D_EU Marinas_Scenario_Calc'!F13</f>
        <v>#DIV/0!</v>
      </c>
      <c r="G18" s="76" t="e">
        <f>'Z+D_EU Marinas_Scenario_Calc'!G13</f>
        <v>#DIV/0!</v>
      </c>
      <c r="H18" s="76" t="e">
        <f>'Z+D_EU Marinas_Scenario_Calc'!H13</f>
        <v>#DIV/0!</v>
      </c>
      <c r="I18" s="76" t="e">
        <f>'Z+D_EU Marinas_Scenario_Calc'!I13</f>
        <v>#DIV/0!</v>
      </c>
      <c r="J18" s="91"/>
      <c r="K18" s="91"/>
      <c r="L18" s="91"/>
      <c r="M18" s="91"/>
    </row>
    <row r="19" spans="2:13" ht="14.25" x14ac:dyDescent="0.2">
      <c r="B19" s="103" t="s">
        <v>114</v>
      </c>
      <c r="C19" s="130" t="s">
        <v>115</v>
      </c>
      <c r="D19" s="75">
        <v>2</v>
      </c>
      <c r="E19" s="122" t="str">
        <f t="shared" si="0"/>
        <v>Zineb and DIDT</v>
      </c>
      <c r="F19" s="76" t="e">
        <f>'Z+D_EU Marinas_Scenario_Calc'!F14</f>
        <v>#DIV/0!</v>
      </c>
      <c r="G19" s="76" t="e">
        <f>'Z+D_EU Marinas_Scenario_Calc'!G14</f>
        <v>#DIV/0!</v>
      </c>
      <c r="H19" s="76" t="e">
        <f>'Z+D_EU Marinas_Scenario_Calc'!H14</f>
        <v>#DIV/0!</v>
      </c>
      <c r="I19" s="76" t="e">
        <f>'Z+D_EU Marinas_Scenario_Calc'!I14</f>
        <v>#DIV/0!</v>
      </c>
      <c r="J19" s="91"/>
      <c r="K19" s="91"/>
      <c r="L19" s="91"/>
      <c r="M19" s="91"/>
    </row>
    <row r="20" spans="2:13" ht="14.25" x14ac:dyDescent="0.2">
      <c r="B20" s="103" t="s">
        <v>116</v>
      </c>
      <c r="C20" s="130" t="s">
        <v>115</v>
      </c>
      <c r="D20" s="75">
        <v>3</v>
      </c>
      <c r="E20" s="122" t="str">
        <f t="shared" si="0"/>
        <v>Zineb and DIDT</v>
      </c>
      <c r="F20" s="76" t="e">
        <f>'Z+D_EU Marinas_Scenario_Calc'!F15</f>
        <v>#DIV/0!</v>
      </c>
      <c r="G20" s="76" t="e">
        <f>'Z+D_EU Marinas_Scenario_Calc'!G15</f>
        <v>#DIV/0!</v>
      </c>
      <c r="H20" s="76" t="e">
        <f>'Z+D_EU Marinas_Scenario_Calc'!H15</f>
        <v>#DIV/0!</v>
      </c>
      <c r="I20" s="76" t="e">
        <f>'Z+D_EU Marinas_Scenario_Calc'!I15</f>
        <v>#DIV/0!</v>
      </c>
      <c r="J20" s="91"/>
      <c r="K20" s="91"/>
      <c r="L20" s="91"/>
      <c r="M20" s="91"/>
    </row>
    <row r="21" spans="2:13" ht="14.25" x14ac:dyDescent="0.2">
      <c r="B21" s="103" t="s">
        <v>117</v>
      </c>
      <c r="C21" s="130" t="s">
        <v>115</v>
      </c>
      <c r="D21" s="75">
        <v>5</v>
      </c>
      <c r="E21" s="122" t="str">
        <f t="shared" si="0"/>
        <v>Zineb and DIDT</v>
      </c>
      <c r="F21" s="76" t="e">
        <f>'Z+D_EU Marinas_Scenario_Calc'!F16</f>
        <v>#DIV/0!</v>
      </c>
      <c r="G21" s="76" t="e">
        <f>'Z+D_EU Marinas_Scenario_Calc'!G16</f>
        <v>#DIV/0!</v>
      </c>
      <c r="H21" s="76" t="e">
        <f>'Z+D_EU Marinas_Scenario_Calc'!H16</f>
        <v>#DIV/0!</v>
      </c>
      <c r="I21" s="76" t="e">
        <f>'Z+D_EU Marinas_Scenario_Calc'!I16</f>
        <v>#DIV/0!</v>
      </c>
      <c r="J21" s="91"/>
      <c r="K21" s="91"/>
      <c r="L21" s="91"/>
      <c r="M21" s="91"/>
    </row>
    <row r="22" spans="2:13" ht="14.25" x14ac:dyDescent="0.2">
      <c r="B22" s="103" t="s">
        <v>118</v>
      </c>
      <c r="C22" s="130" t="s">
        <v>115</v>
      </c>
      <c r="D22" s="75">
        <v>6</v>
      </c>
      <c r="E22" s="122" t="str">
        <f t="shared" si="0"/>
        <v>Zineb and DIDT</v>
      </c>
      <c r="F22" s="76" t="e">
        <f>'Z+D_EU Marinas_Scenario_Calc'!F17</f>
        <v>#DIV/0!</v>
      </c>
      <c r="G22" s="76" t="e">
        <f>'Z+D_EU Marinas_Scenario_Calc'!G17</f>
        <v>#DIV/0!</v>
      </c>
      <c r="H22" s="76" t="e">
        <f>'Z+D_EU Marinas_Scenario_Calc'!H17</f>
        <v>#DIV/0!</v>
      </c>
      <c r="I22" s="76" t="e">
        <f>'Z+D_EU Marinas_Scenario_Calc'!I17</f>
        <v>#DIV/0!</v>
      </c>
      <c r="J22" s="91"/>
      <c r="K22" s="91"/>
      <c r="L22" s="91"/>
      <c r="M22" s="91"/>
    </row>
    <row r="23" spans="2:13" ht="14.25" x14ac:dyDescent="0.2">
      <c r="B23" s="103" t="s">
        <v>119</v>
      </c>
      <c r="C23" s="130" t="s">
        <v>115</v>
      </c>
      <c r="D23" s="75">
        <v>11</v>
      </c>
      <c r="E23" s="122" t="str">
        <f t="shared" si="0"/>
        <v>Zineb and DIDT</v>
      </c>
      <c r="F23" s="76" t="e">
        <f>'Z+D_EU Marinas_Scenario_Calc'!F18</f>
        <v>#DIV/0!</v>
      </c>
      <c r="G23" s="76" t="e">
        <f>'Z+D_EU Marinas_Scenario_Calc'!G18</f>
        <v>#DIV/0!</v>
      </c>
      <c r="H23" s="76" t="e">
        <f>'Z+D_EU Marinas_Scenario_Calc'!H18</f>
        <v>#DIV/0!</v>
      </c>
      <c r="I23" s="76" t="e">
        <f>'Z+D_EU Marinas_Scenario_Calc'!I18</f>
        <v>#DIV/0!</v>
      </c>
      <c r="J23" s="91"/>
      <c r="K23" s="91"/>
      <c r="L23" s="91"/>
      <c r="M23" s="91"/>
    </row>
    <row r="24" spans="2:13" ht="14.25" x14ac:dyDescent="0.2">
      <c r="B24" s="103" t="s">
        <v>120</v>
      </c>
      <c r="C24" s="130" t="s">
        <v>115</v>
      </c>
      <c r="D24" s="75">
        <v>12</v>
      </c>
      <c r="E24" s="122" t="str">
        <f t="shared" si="0"/>
        <v>Zineb and DIDT</v>
      </c>
      <c r="F24" s="76" t="e">
        <f>'Z+D_EU Marinas_Scenario_Calc'!F19</f>
        <v>#DIV/0!</v>
      </c>
      <c r="G24" s="76" t="e">
        <f>'Z+D_EU Marinas_Scenario_Calc'!G19</f>
        <v>#DIV/0!</v>
      </c>
      <c r="H24" s="76" t="e">
        <f>'Z+D_EU Marinas_Scenario_Calc'!H19</f>
        <v>#DIV/0!</v>
      </c>
      <c r="I24" s="76" t="e">
        <f>'Z+D_EU Marinas_Scenario_Calc'!I19</f>
        <v>#DIV/0!</v>
      </c>
      <c r="J24" s="91"/>
      <c r="K24" s="91"/>
      <c r="L24" s="91"/>
      <c r="M24" s="91"/>
    </row>
    <row r="25" spans="2:13" ht="14.25" x14ac:dyDescent="0.2">
      <c r="B25" s="103" t="s">
        <v>121</v>
      </c>
      <c r="C25" s="130" t="s">
        <v>12</v>
      </c>
      <c r="D25" s="75" t="s">
        <v>122</v>
      </c>
      <c r="E25" s="122" t="str">
        <f t="shared" si="0"/>
        <v>Zineb and DIDT</v>
      </c>
      <c r="F25" s="76" t="e">
        <f>'Z+D_EU Marinas_Scenario_Calc'!F20</f>
        <v>#DIV/0!</v>
      </c>
      <c r="G25" s="76" t="e">
        <f>'Z+D_EU Marinas_Scenario_Calc'!G20</f>
        <v>#DIV/0!</v>
      </c>
      <c r="H25" s="76" t="e">
        <f>'Z+D_EU Marinas_Scenario_Calc'!H20</f>
        <v>#DIV/0!</v>
      </c>
      <c r="I25" s="76" t="e">
        <f>'Z+D_EU Marinas_Scenario_Calc'!I20</f>
        <v>#DIV/0!</v>
      </c>
      <c r="J25" s="91"/>
      <c r="K25" s="91"/>
      <c r="L25" s="91"/>
      <c r="M25" s="91"/>
    </row>
    <row r="26" spans="2:13" ht="14.25" x14ac:dyDescent="0.2">
      <c r="B26" s="103" t="s">
        <v>123</v>
      </c>
      <c r="C26" s="130" t="s">
        <v>12</v>
      </c>
      <c r="D26" s="75" t="s">
        <v>124</v>
      </c>
      <c r="E26" s="122" t="str">
        <f t="shared" si="0"/>
        <v>Zineb and DIDT</v>
      </c>
      <c r="F26" s="76" t="e">
        <f>'Z+D_EU Marinas_Scenario_Calc'!F21</f>
        <v>#DIV/0!</v>
      </c>
      <c r="G26" s="76" t="e">
        <f>'Z+D_EU Marinas_Scenario_Calc'!G21</f>
        <v>#DIV/0!</v>
      </c>
      <c r="H26" s="76" t="e">
        <f>'Z+D_EU Marinas_Scenario_Calc'!H21</f>
        <v>#DIV/0!</v>
      </c>
      <c r="I26" s="76" t="e">
        <f>'Z+D_EU Marinas_Scenario_Calc'!I21</f>
        <v>#DIV/0!</v>
      </c>
      <c r="J26" s="91"/>
      <c r="K26" s="91"/>
      <c r="L26" s="91"/>
      <c r="M26" s="91"/>
    </row>
    <row r="27" spans="2:13" ht="14.25" x14ac:dyDescent="0.2">
      <c r="B27" s="103" t="s">
        <v>125</v>
      </c>
      <c r="C27" s="130" t="s">
        <v>12</v>
      </c>
      <c r="D27" s="75" t="s">
        <v>126</v>
      </c>
      <c r="E27" s="122" t="str">
        <f t="shared" si="0"/>
        <v>Zineb and DIDT</v>
      </c>
      <c r="F27" s="76" t="e">
        <f>'Z+D_EU Marinas_Scenario_Calc'!F22</f>
        <v>#DIV/0!</v>
      </c>
      <c r="G27" s="76" t="e">
        <f>'Z+D_EU Marinas_Scenario_Calc'!G22</f>
        <v>#DIV/0!</v>
      </c>
      <c r="H27" s="76" t="e">
        <f>'Z+D_EU Marinas_Scenario_Calc'!H22</f>
        <v>#DIV/0!</v>
      </c>
      <c r="I27" s="76" t="e">
        <f>'Z+D_EU Marinas_Scenario_Calc'!I22</f>
        <v>#DIV/0!</v>
      </c>
      <c r="J27" s="91"/>
      <c r="K27" s="91"/>
      <c r="L27" s="91"/>
      <c r="M27" s="91"/>
    </row>
    <row r="28" spans="2:13" ht="14.25" x14ac:dyDescent="0.2">
      <c r="B28" s="103" t="s">
        <v>127</v>
      </c>
      <c r="C28" s="130" t="s">
        <v>12</v>
      </c>
      <c r="D28" s="75" t="s">
        <v>128</v>
      </c>
      <c r="E28" s="122" t="str">
        <f t="shared" si="0"/>
        <v>Zineb and DIDT</v>
      </c>
      <c r="F28" s="76" t="e">
        <f>'Z+D_EU Marinas_Scenario_Calc'!F23</f>
        <v>#DIV/0!</v>
      </c>
      <c r="G28" s="76" t="e">
        <f>'Z+D_EU Marinas_Scenario_Calc'!G23</f>
        <v>#DIV/0!</v>
      </c>
      <c r="H28" s="76" t="e">
        <f>'Z+D_EU Marinas_Scenario_Calc'!H23</f>
        <v>#DIV/0!</v>
      </c>
      <c r="I28" s="76" t="e">
        <f>'Z+D_EU Marinas_Scenario_Calc'!I23</f>
        <v>#DIV/0!</v>
      </c>
      <c r="J28" s="91"/>
      <c r="K28" s="91"/>
      <c r="L28" s="91"/>
      <c r="M28" s="91"/>
    </row>
    <row r="29" spans="2:13" ht="14.25" x14ac:dyDescent="0.2">
      <c r="B29" s="103" t="s">
        <v>129</v>
      </c>
      <c r="C29" s="130" t="s">
        <v>12</v>
      </c>
      <c r="D29" s="75" t="s">
        <v>130</v>
      </c>
      <c r="E29" s="122" t="str">
        <f t="shared" si="0"/>
        <v>Zineb and DIDT</v>
      </c>
      <c r="F29" s="76" t="e">
        <f>'Z+D_EU Marinas_Scenario_Calc'!F24</f>
        <v>#DIV/0!</v>
      </c>
      <c r="G29" s="76" t="e">
        <f>'Z+D_EU Marinas_Scenario_Calc'!G24</f>
        <v>#DIV/0!</v>
      </c>
      <c r="H29" s="76" t="e">
        <f>'Z+D_EU Marinas_Scenario_Calc'!H24</f>
        <v>#DIV/0!</v>
      </c>
      <c r="I29" s="76" t="e">
        <f>'Z+D_EU Marinas_Scenario_Calc'!I24</f>
        <v>#DIV/0!</v>
      </c>
      <c r="J29" s="91"/>
      <c r="K29" s="91"/>
      <c r="L29" s="91"/>
      <c r="M29" s="91"/>
    </row>
    <row r="30" spans="2:13" ht="14.25" x14ac:dyDescent="0.2">
      <c r="B30" s="103" t="s">
        <v>131</v>
      </c>
      <c r="C30" s="130" t="s">
        <v>12</v>
      </c>
      <c r="D30" s="75" t="s">
        <v>132</v>
      </c>
      <c r="E30" s="122" t="str">
        <f t="shared" si="0"/>
        <v>Zineb and DIDT</v>
      </c>
      <c r="F30" s="76" t="e">
        <f>'Z+D_EU Marinas_Scenario_Calc'!F25</f>
        <v>#DIV/0!</v>
      </c>
      <c r="G30" s="76" t="e">
        <f>'Z+D_EU Marinas_Scenario_Calc'!G25</f>
        <v>#DIV/0!</v>
      </c>
      <c r="H30" s="76" t="e">
        <f>'Z+D_EU Marinas_Scenario_Calc'!H25</f>
        <v>#DIV/0!</v>
      </c>
      <c r="I30" s="76" t="e">
        <f>'Z+D_EU Marinas_Scenario_Calc'!I25</f>
        <v>#DIV/0!</v>
      </c>
      <c r="J30" s="91"/>
      <c r="K30" s="91"/>
      <c r="L30" s="91"/>
      <c r="M30" s="91"/>
    </row>
    <row r="31" spans="2:13" ht="14.25" x14ac:dyDescent="0.2">
      <c r="B31" s="103" t="s">
        <v>133</v>
      </c>
      <c r="C31" s="130" t="s">
        <v>12</v>
      </c>
      <c r="D31" s="75" t="s">
        <v>134</v>
      </c>
      <c r="E31" s="122" t="str">
        <f t="shared" si="0"/>
        <v>Zineb and DIDT</v>
      </c>
      <c r="F31" s="76" t="e">
        <f>'Z+D_EU Marinas_Scenario_Calc'!F26</f>
        <v>#DIV/0!</v>
      </c>
      <c r="G31" s="76" t="e">
        <f>'Z+D_EU Marinas_Scenario_Calc'!G26</f>
        <v>#DIV/0!</v>
      </c>
      <c r="H31" s="76" t="e">
        <f>'Z+D_EU Marinas_Scenario_Calc'!H26</f>
        <v>#DIV/0!</v>
      </c>
      <c r="I31" s="76" t="e">
        <f>'Z+D_EU Marinas_Scenario_Calc'!I26</f>
        <v>#DIV/0!</v>
      </c>
      <c r="J31" s="91"/>
      <c r="K31" s="91"/>
      <c r="L31" s="91"/>
      <c r="M31" s="91"/>
    </row>
    <row r="32" spans="2:13" ht="14.25" x14ac:dyDescent="0.2">
      <c r="B32" s="103" t="s">
        <v>135</v>
      </c>
      <c r="C32" s="130" t="s">
        <v>12</v>
      </c>
      <c r="D32" s="75" t="s">
        <v>136</v>
      </c>
      <c r="E32" s="122" t="str">
        <f t="shared" si="0"/>
        <v>Zineb and DIDT</v>
      </c>
      <c r="F32" s="76" t="e">
        <f>'Z+D_EU Marinas_Scenario_Calc'!F27</f>
        <v>#DIV/0!</v>
      </c>
      <c r="G32" s="76" t="e">
        <f>'Z+D_EU Marinas_Scenario_Calc'!G27</f>
        <v>#DIV/0!</v>
      </c>
      <c r="H32" s="76" t="e">
        <f>'Z+D_EU Marinas_Scenario_Calc'!H27</f>
        <v>#DIV/0!</v>
      </c>
      <c r="I32" s="76" t="e">
        <f>'Z+D_EU Marinas_Scenario_Calc'!I27</f>
        <v>#DIV/0!</v>
      </c>
      <c r="J32" s="91"/>
      <c r="K32" s="91"/>
      <c r="L32" s="91"/>
      <c r="M32" s="91"/>
    </row>
    <row r="33" spans="2:13" ht="14.25" x14ac:dyDescent="0.2">
      <c r="B33" s="103" t="s">
        <v>137</v>
      </c>
      <c r="C33" s="130" t="s">
        <v>12</v>
      </c>
      <c r="D33" s="75" t="s">
        <v>138</v>
      </c>
      <c r="E33" s="122" t="str">
        <f t="shared" si="0"/>
        <v>Zineb and DIDT</v>
      </c>
      <c r="F33" s="76" t="e">
        <f>'Z+D_EU Marinas_Scenario_Calc'!F28</f>
        <v>#DIV/0!</v>
      </c>
      <c r="G33" s="76" t="e">
        <f>'Z+D_EU Marinas_Scenario_Calc'!G28</f>
        <v>#DIV/0!</v>
      </c>
      <c r="H33" s="76" t="e">
        <f>'Z+D_EU Marinas_Scenario_Calc'!H28</f>
        <v>#DIV/0!</v>
      </c>
      <c r="I33" s="76" t="e">
        <f>'Z+D_EU Marinas_Scenario_Calc'!I28</f>
        <v>#DIV/0!</v>
      </c>
      <c r="J33" s="91"/>
      <c r="K33" s="91"/>
      <c r="L33" s="91"/>
      <c r="M33" s="91"/>
    </row>
    <row r="34" spans="2:13" ht="14.25" x14ac:dyDescent="0.2">
      <c r="B34" s="103" t="s">
        <v>139</v>
      </c>
      <c r="C34" s="130" t="s">
        <v>12</v>
      </c>
      <c r="D34" s="75" t="s">
        <v>140</v>
      </c>
      <c r="E34" s="122" t="str">
        <f t="shared" si="0"/>
        <v>Zineb and DIDT</v>
      </c>
      <c r="F34" s="76" t="e">
        <f>'Z+D_EU Marinas_Scenario_Calc'!F29</f>
        <v>#DIV/0!</v>
      </c>
      <c r="G34" s="76" t="e">
        <f>'Z+D_EU Marinas_Scenario_Calc'!G29</f>
        <v>#DIV/0!</v>
      </c>
      <c r="H34" s="76" t="e">
        <f>'Z+D_EU Marinas_Scenario_Calc'!H29</f>
        <v>#DIV/0!</v>
      </c>
      <c r="I34" s="76" t="e">
        <f>'Z+D_EU Marinas_Scenario_Calc'!I29</f>
        <v>#DIV/0!</v>
      </c>
      <c r="J34" s="91"/>
      <c r="K34" s="91"/>
      <c r="L34" s="91"/>
      <c r="M34" s="91"/>
    </row>
    <row r="35" spans="2:13" ht="14.25" x14ac:dyDescent="0.2">
      <c r="B35" s="103" t="s">
        <v>141</v>
      </c>
      <c r="C35" s="130" t="s">
        <v>13</v>
      </c>
      <c r="D35" s="75">
        <v>1</v>
      </c>
      <c r="E35" s="122" t="str">
        <f t="shared" si="0"/>
        <v>Zineb and DIDT</v>
      </c>
      <c r="F35" s="76" t="e">
        <f>'Z+D_EU Marinas_Scenario_Calc'!F30</f>
        <v>#DIV/0!</v>
      </c>
      <c r="G35" s="76" t="e">
        <f>'Z+D_EU Marinas_Scenario_Calc'!G30</f>
        <v>#DIV/0!</v>
      </c>
      <c r="H35" s="76" t="e">
        <f>'Z+D_EU Marinas_Scenario_Calc'!H30</f>
        <v>#DIV/0!</v>
      </c>
      <c r="I35" s="76" t="e">
        <f>'Z+D_EU Marinas_Scenario_Calc'!I30</f>
        <v>#DIV/0!</v>
      </c>
      <c r="J35" s="91"/>
      <c r="K35" s="91"/>
      <c r="L35" s="91"/>
      <c r="M35" s="91"/>
    </row>
    <row r="36" spans="2:13" ht="14.25" x14ac:dyDescent="0.2">
      <c r="B36" s="103" t="s">
        <v>142</v>
      </c>
      <c r="C36" s="130" t="s">
        <v>13</v>
      </c>
      <c r="D36" s="75">
        <v>3</v>
      </c>
      <c r="E36" s="122" t="str">
        <f t="shared" si="0"/>
        <v>Zineb and DIDT</v>
      </c>
      <c r="F36" s="76" t="e">
        <f>'Z+D_EU Marinas_Scenario_Calc'!F31</f>
        <v>#DIV/0!</v>
      </c>
      <c r="G36" s="76" t="e">
        <f>'Z+D_EU Marinas_Scenario_Calc'!G31</f>
        <v>#DIV/0!</v>
      </c>
      <c r="H36" s="76" t="e">
        <f>'Z+D_EU Marinas_Scenario_Calc'!H31</f>
        <v>#DIV/0!</v>
      </c>
      <c r="I36" s="76" t="e">
        <f>'Z+D_EU Marinas_Scenario_Calc'!I31</f>
        <v>#DIV/0!</v>
      </c>
      <c r="J36" s="91"/>
      <c r="K36" s="91"/>
      <c r="L36" s="91"/>
      <c r="M36" s="91"/>
    </row>
    <row r="37" spans="2:13" ht="14.25" x14ac:dyDescent="0.2">
      <c r="B37" s="103" t="s">
        <v>143</v>
      </c>
      <c r="C37" s="130" t="s">
        <v>13</v>
      </c>
      <c r="D37" s="75">
        <v>4</v>
      </c>
      <c r="E37" s="122" t="str">
        <f t="shared" si="0"/>
        <v>Zineb and DIDT</v>
      </c>
      <c r="F37" s="76" t="e">
        <f>'Z+D_EU Marinas_Scenario_Calc'!F32</f>
        <v>#DIV/0!</v>
      </c>
      <c r="G37" s="76" t="e">
        <f>'Z+D_EU Marinas_Scenario_Calc'!G32</f>
        <v>#DIV/0!</v>
      </c>
      <c r="H37" s="76" t="e">
        <f>'Z+D_EU Marinas_Scenario_Calc'!H32</f>
        <v>#DIV/0!</v>
      </c>
      <c r="I37" s="76" t="e">
        <f>'Z+D_EU Marinas_Scenario_Calc'!I32</f>
        <v>#DIV/0!</v>
      </c>
      <c r="J37" s="91"/>
      <c r="K37" s="91"/>
      <c r="L37" s="91"/>
      <c r="M37" s="91"/>
    </row>
    <row r="38" spans="2:13" ht="14.25" x14ac:dyDescent="0.2">
      <c r="B38" s="103" t="s">
        <v>144</v>
      </c>
      <c r="C38" s="130" t="s">
        <v>13</v>
      </c>
      <c r="D38" s="75">
        <v>6</v>
      </c>
      <c r="E38" s="122" t="str">
        <f t="shared" si="0"/>
        <v>Zineb and DIDT</v>
      </c>
      <c r="F38" s="76" t="e">
        <f>'Z+D_EU Marinas_Scenario_Calc'!F33</f>
        <v>#DIV/0!</v>
      </c>
      <c r="G38" s="76" t="e">
        <f>'Z+D_EU Marinas_Scenario_Calc'!G33</f>
        <v>#DIV/0!</v>
      </c>
      <c r="H38" s="76" t="e">
        <f>'Z+D_EU Marinas_Scenario_Calc'!H33</f>
        <v>#DIV/0!</v>
      </c>
      <c r="I38" s="76" t="e">
        <f>'Z+D_EU Marinas_Scenario_Calc'!I33</f>
        <v>#DIV/0!</v>
      </c>
      <c r="J38" s="91"/>
      <c r="K38" s="91"/>
      <c r="L38" s="91"/>
      <c r="M38" s="91"/>
    </row>
    <row r="39" spans="2:13" ht="14.25" x14ac:dyDescent="0.2">
      <c r="B39" s="103" t="s">
        <v>145</v>
      </c>
      <c r="C39" s="130" t="s">
        <v>13</v>
      </c>
      <c r="D39" s="75">
        <v>7</v>
      </c>
      <c r="E39" s="122" t="str">
        <f t="shared" si="0"/>
        <v>Zineb and DIDT</v>
      </c>
      <c r="F39" s="76" t="e">
        <f>'Z+D_EU Marinas_Scenario_Calc'!F34</f>
        <v>#DIV/0!</v>
      </c>
      <c r="G39" s="76" t="e">
        <f>'Z+D_EU Marinas_Scenario_Calc'!G34</f>
        <v>#DIV/0!</v>
      </c>
      <c r="H39" s="76" t="e">
        <f>'Z+D_EU Marinas_Scenario_Calc'!H34</f>
        <v>#DIV/0!</v>
      </c>
      <c r="I39" s="76" t="e">
        <f>'Z+D_EU Marinas_Scenario_Calc'!I34</f>
        <v>#DIV/0!</v>
      </c>
      <c r="J39" s="91"/>
      <c r="K39" s="91"/>
      <c r="L39" s="91"/>
      <c r="M39" s="91"/>
    </row>
    <row r="40" spans="2:13" ht="14.25" x14ac:dyDescent="0.2">
      <c r="B40" s="103" t="s">
        <v>146</v>
      </c>
      <c r="C40" s="130" t="s">
        <v>13</v>
      </c>
      <c r="D40" s="75">
        <v>8</v>
      </c>
      <c r="E40" s="122" t="str">
        <f t="shared" si="0"/>
        <v>Zineb and DIDT</v>
      </c>
      <c r="F40" s="76" t="e">
        <f>'Z+D_EU Marinas_Scenario_Calc'!F35</f>
        <v>#DIV/0!</v>
      </c>
      <c r="G40" s="76" t="e">
        <f>'Z+D_EU Marinas_Scenario_Calc'!G35</f>
        <v>#DIV/0!</v>
      </c>
      <c r="H40" s="76" t="e">
        <f>'Z+D_EU Marinas_Scenario_Calc'!H35</f>
        <v>#DIV/0!</v>
      </c>
      <c r="I40" s="76" t="e">
        <f>'Z+D_EU Marinas_Scenario_Calc'!I35</f>
        <v>#DIV/0!</v>
      </c>
      <c r="J40" s="91"/>
      <c r="K40" s="91"/>
      <c r="L40" s="91"/>
      <c r="M40" s="91"/>
    </row>
    <row r="41" spans="2:13" ht="14.25" x14ac:dyDescent="0.2">
      <c r="B41" s="103" t="s">
        <v>147</v>
      </c>
      <c r="C41" s="130" t="s">
        <v>13</v>
      </c>
      <c r="D41" s="75">
        <v>14</v>
      </c>
      <c r="E41" s="122" t="str">
        <f t="shared" si="0"/>
        <v>Zineb and DIDT</v>
      </c>
      <c r="F41" s="76" t="e">
        <f>'Z+D_EU Marinas_Scenario_Calc'!F36</f>
        <v>#DIV/0!</v>
      </c>
      <c r="G41" s="76" t="e">
        <f>'Z+D_EU Marinas_Scenario_Calc'!G36</f>
        <v>#DIV/0!</v>
      </c>
      <c r="H41" s="76" t="e">
        <f>'Z+D_EU Marinas_Scenario_Calc'!H36</f>
        <v>#DIV/0!</v>
      </c>
      <c r="I41" s="76" t="e">
        <f>'Z+D_EU Marinas_Scenario_Calc'!I36</f>
        <v>#DIV/0!</v>
      </c>
      <c r="J41" s="91"/>
      <c r="K41" s="91"/>
      <c r="L41" s="91"/>
      <c r="M41" s="91"/>
    </row>
    <row r="42" spans="2:13" ht="14.25" x14ac:dyDescent="0.2">
      <c r="B42" s="103" t="s">
        <v>148</v>
      </c>
      <c r="C42" s="130" t="s">
        <v>13</v>
      </c>
      <c r="D42" s="75">
        <v>17</v>
      </c>
      <c r="E42" s="122" t="str">
        <f t="shared" si="0"/>
        <v>Zineb and DIDT</v>
      </c>
      <c r="F42" s="76" t="e">
        <f>'Z+D_EU Marinas_Scenario_Calc'!F37</f>
        <v>#DIV/0!</v>
      </c>
      <c r="G42" s="76" t="e">
        <f>'Z+D_EU Marinas_Scenario_Calc'!G37</f>
        <v>#DIV/0!</v>
      </c>
      <c r="H42" s="76" t="e">
        <f>'Z+D_EU Marinas_Scenario_Calc'!H37</f>
        <v>#DIV/0!</v>
      </c>
      <c r="I42" s="76" t="e">
        <f>'Z+D_EU Marinas_Scenario_Calc'!I37</f>
        <v>#DIV/0!</v>
      </c>
      <c r="J42" s="91"/>
      <c r="K42" s="91"/>
      <c r="L42" s="91"/>
      <c r="M42" s="91"/>
    </row>
    <row r="43" spans="2:13" ht="14.25" x14ac:dyDescent="0.2">
      <c r="B43" s="103" t="s">
        <v>149</v>
      </c>
      <c r="C43" s="130" t="s">
        <v>13</v>
      </c>
      <c r="D43" s="75">
        <v>21</v>
      </c>
      <c r="E43" s="122" t="str">
        <f t="shared" si="0"/>
        <v>Zineb and DIDT</v>
      </c>
      <c r="F43" s="76" t="e">
        <f>'Z+D_EU Marinas_Scenario_Calc'!F38</f>
        <v>#DIV/0!</v>
      </c>
      <c r="G43" s="76" t="e">
        <f>'Z+D_EU Marinas_Scenario_Calc'!G38</f>
        <v>#DIV/0!</v>
      </c>
      <c r="H43" s="76" t="e">
        <f>'Z+D_EU Marinas_Scenario_Calc'!H38</f>
        <v>#DIV/0!</v>
      </c>
      <c r="I43" s="76" t="e">
        <f>'Z+D_EU Marinas_Scenario_Calc'!I38</f>
        <v>#DIV/0!</v>
      </c>
      <c r="J43" s="91"/>
      <c r="K43" s="91"/>
      <c r="L43" s="91"/>
      <c r="M43" s="91"/>
    </row>
    <row r="44" spans="2:13" ht="14.25" x14ac:dyDescent="0.2">
      <c r="B44" s="103" t="s">
        <v>150</v>
      </c>
      <c r="C44" s="130" t="s">
        <v>13</v>
      </c>
      <c r="D44" s="75">
        <v>26</v>
      </c>
      <c r="E44" s="122" t="str">
        <f t="shared" si="0"/>
        <v>Zineb and DIDT</v>
      </c>
      <c r="F44" s="76" t="e">
        <f>'Z+D_EU Marinas_Scenario_Calc'!F39</f>
        <v>#DIV/0!</v>
      </c>
      <c r="G44" s="76" t="e">
        <f>'Z+D_EU Marinas_Scenario_Calc'!G39</f>
        <v>#DIV/0!</v>
      </c>
      <c r="H44" s="76" t="e">
        <f>'Z+D_EU Marinas_Scenario_Calc'!H39</f>
        <v>#DIV/0!</v>
      </c>
      <c r="I44" s="76" t="e">
        <f>'Z+D_EU Marinas_Scenario_Calc'!I39</f>
        <v>#DIV/0!</v>
      </c>
      <c r="J44" s="91"/>
      <c r="K44" s="91"/>
      <c r="L44" s="91"/>
      <c r="M44" s="91"/>
    </row>
    <row r="45" spans="2:13" ht="14.25" x14ac:dyDescent="0.2">
      <c r="B45" s="103" t="s">
        <v>151</v>
      </c>
      <c r="C45" s="130" t="s">
        <v>13</v>
      </c>
      <c r="D45" s="75">
        <v>30</v>
      </c>
      <c r="E45" s="122" t="str">
        <f t="shared" si="0"/>
        <v>Zineb and DIDT</v>
      </c>
      <c r="F45" s="76" t="e">
        <f>'Z+D_EU Marinas_Scenario_Calc'!F40</f>
        <v>#DIV/0!</v>
      </c>
      <c r="G45" s="76" t="e">
        <f>'Z+D_EU Marinas_Scenario_Calc'!G40</f>
        <v>#DIV/0!</v>
      </c>
      <c r="H45" s="76" t="e">
        <f>'Z+D_EU Marinas_Scenario_Calc'!H40</f>
        <v>#DIV/0!</v>
      </c>
      <c r="I45" s="76" t="e">
        <f>'Z+D_EU Marinas_Scenario_Calc'!I40</f>
        <v>#DIV/0!</v>
      </c>
      <c r="J45" s="91"/>
      <c r="K45" s="91"/>
      <c r="L45" s="91"/>
      <c r="M45" s="91"/>
    </row>
    <row r="46" spans="2:13" ht="14.25" x14ac:dyDescent="0.2">
      <c r="B46" s="103" t="s">
        <v>152</v>
      </c>
      <c r="C46" s="130" t="s">
        <v>13</v>
      </c>
      <c r="D46" s="75">
        <v>34</v>
      </c>
      <c r="E46" s="122" t="str">
        <f t="shared" si="0"/>
        <v>Zineb and DIDT</v>
      </c>
      <c r="F46" s="76" t="e">
        <f>'Z+D_EU Marinas_Scenario_Calc'!F41</f>
        <v>#DIV/0!</v>
      </c>
      <c r="G46" s="76" t="e">
        <f>'Z+D_EU Marinas_Scenario_Calc'!G41</f>
        <v>#DIV/0!</v>
      </c>
      <c r="H46" s="76" t="e">
        <f>'Z+D_EU Marinas_Scenario_Calc'!H41</f>
        <v>#DIV/0!</v>
      </c>
      <c r="I46" s="76" t="e">
        <f>'Z+D_EU Marinas_Scenario_Calc'!I41</f>
        <v>#DIV/0!</v>
      </c>
      <c r="J46" s="91"/>
      <c r="K46" s="91"/>
      <c r="L46" s="91"/>
      <c r="M46" s="91"/>
    </row>
    <row r="47" spans="2:13" ht="14.25" x14ac:dyDescent="0.2">
      <c r="B47" s="103" t="s">
        <v>153</v>
      </c>
      <c r="C47" s="130" t="s">
        <v>13</v>
      </c>
      <c r="D47" s="75">
        <v>40</v>
      </c>
      <c r="E47" s="122" t="str">
        <f t="shared" si="0"/>
        <v>Zineb and DIDT</v>
      </c>
      <c r="F47" s="76" t="e">
        <f>'Z+D_EU Marinas_Scenario_Calc'!F42</f>
        <v>#DIV/0!</v>
      </c>
      <c r="G47" s="76" t="e">
        <f>'Z+D_EU Marinas_Scenario_Calc'!G42</f>
        <v>#DIV/0!</v>
      </c>
      <c r="H47" s="76" t="e">
        <f>'Z+D_EU Marinas_Scenario_Calc'!H42</f>
        <v>#DIV/0!</v>
      </c>
      <c r="I47" s="76" t="e">
        <f>'Z+D_EU Marinas_Scenario_Calc'!I42</f>
        <v>#DIV/0!</v>
      </c>
      <c r="J47" s="91"/>
      <c r="K47" s="91"/>
      <c r="L47" s="91"/>
      <c r="M47" s="91"/>
    </row>
    <row r="48" spans="2:13" ht="14.25" x14ac:dyDescent="0.2">
      <c r="B48" s="103" t="s">
        <v>154</v>
      </c>
      <c r="C48" s="130" t="s">
        <v>13</v>
      </c>
      <c r="D48" s="75">
        <v>42</v>
      </c>
      <c r="E48" s="122" t="str">
        <f t="shared" si="0"/>
        <v>Zineb and DIDT</v>
      </c>
      <c r="F48" s="76" t="e">
        <f>'Z+D_EU Marinas_Scenario_Calc'!F43</f>
        <v>#DIV/0!</v>
      </c>
      <c r="G48" s="76" t="e">
        <f>'Z+D_EU Marinas_Scenario_Calc'!G43</f>
        <v>#DIV/0!</v>
      </c>
      <c r="H48" s="76" t="e">
        <f>'Z+D_EU Marinas_Scenario_Calc'!H43</f>
        <v>#DIV/0!</v>
      </c>
      <c r="I48" s="76" t="e">
        <f>'Z+D_EU Marinas_Scenario_Calc'!I43</f>
        <v>#DIV/0!</v>
      </c>
      <c r="J48" s="91"/>
      <c r="K48" s="91"/>
      <c r="L48" s="91"/>
      <c r="M48" s="91"/>
    </row>
    <row r="49" spans="2:15" ht="14.25" x14ac:dyDescent="0.2">
      <c r="B49" s="103" t="s">
        <v>155</v>
      </c>
      <c r="C49" s="130" t="s">
        <v>13</v>
      </c>
      <c r="D49" s="75">
        <v>44</v>
      </c>
      <c r="E49" s="122" t="str">
        <f t="shared" si="0"/>
        <v>Zineb and DIDT</v>
      </c>
      <c r="F49" s="76" t="e">
        <f>'Z+D_EU Marinas_Scenario_Calc'!F44</f>
        <v>#DIV/0!</v>
      </c>
      <c r="G49" s="76" t="e">
        <f>'Z+D_EU Marinas_Scenario_Calc'!G44</f>
        <v>#DIV/0!</v>
      </c>
      <c r="H49" s="76" t="e">
        <f>'Z+D_EU Marinas_Scenario_Calc'!H44</f>
        <v>#DIV/0!</v>
      </c>
      <c r="I49" s="76" t="e">
        <f>'Z+D_EU Marinas_Scenario_Calc'!I44</f>
        <v>#DIV/0!</v>
      </c>
      <c r="J49" s="91"/>
      <c r="K49" s="91"/>
      <c r="L49" s="91"/>
      <c r="M49" s="91"/>
    </row>
    <row r="50" spans="2:15" ht="14.25" x14ac:dyDescent="0.2">
      <c r="B50" s="103" t="s">
        <v>156</v>
      </c>
      <c r="C50" s="130" t="s">
        <v>13</v>
      </c>
      <c r="D50" s="75">
        <v>45</v>
      </c>
      <c r="E50" s="122" t="str">
        <f t="shared" si="0"/>
        <v>Zineb and DIDT</v>
      </c>
      <c r="F50" s="76" t="e">
        <f>'Z+D_EU Marinas_Scenario_Calc'!F45</f>
        <v>#DIV/0!</v>
      </c>
      <c r="G50" s="76" t="e">
        <f>'Z+D_EU Marinas_Scenario_Calc'!G45</f>
        <v>#DIV/0!</v>
      </c>
      <c r="H50" s="76" t="e">
        <f>'Z+D_EU Marinas_Scenario_Calc'!H45</f>
        <v>#DIV/0!</v>
      </c>
      <c r="I50" s="76" t="e">
        <f>'Z+D_EU Marinas_Scenario_Calc'!I45</f>
        <v>#DIV/0!</v>
      </c>
      <c r="J50" s="91"/>
      <c r="K50" s="91"/>
      <c r="L50" s="91"/>
      <c r="M50" s="91"/>
    </row>
    <row r="51" spans="2:15" ht="14.25" x14ac:dyDescent="0.2">
      <c r="B51" s="103" t="s">
        <v>157</v>
      </c>
      <c r="C51" s="130" t="s">
        <v>13</v>
      </c>
      <c r="D51" s="75">
        <v>46</v>
      </c>
      <c r="E51" s="122" t="str">
        <f t="shared" si="0"/>
        <v>Zineb and DIDT</v>
      </c>
      <c r="F51" s="76" t="e">
        <f>'Z+D_EU Marinas_Scenario_Calc'!F46</f>
        <v>#DIV/0!</v>
      </c>
      <c r="G51" s="76" t="e">
        <f>'Z+D_EU Marinas_Scenario_Calc'!G46</f>
        <v>#DIV/0!</v>
      </c>
      <c r="H51" s="76" t="e">
        <f>'Z+D_EU Marinas_Scenario_Calc'!H46</f>
        <v>#DIV/0!</v>
      </c>
      <c r="I51" s="76" t="e">
        <f>'Z+D_EU Marinas_Scenario_Calc'!I46</f>
        <v>#DIV/0!</v>
      </c>
      <c r="J51" s="91"/>
      <c r="K51" s="91"/>
      <c r="L51" s="91"/>
      <c r="M51" s="91"/>
    </row>
    <row r="52" spans="2:15" ht="14.25" x14ac:dyDescent="0.2">
      <c r="B52" s="103" t="s">
        <v>158</v>
      </c>
      <c r="C52" s="130" t="s">
        <v>13</v>
      </c>
      <c r="D52" s="75">
        <v>48</v>
      </c>
      <c r="E52" s="122" t="str">
        <f t="shared" si="0"/>
        <v>Zineb and DIDT</v>
      </c>
      <c r="F52" s="76" t="e">
        <f>'Z+D_EU Marinas_Scenario_Calc'!F47</f>
        <v>#DIV/0!</v>
      </c>
      <c r="G52" s="76" t="e">
        <f>'Z+D_EU Marinas_Scenario_Calc'!G47</f>
        <v>#DIV/0!</v>
      </c>
      <c r="H52" s="76" t="e">
        <f>'Z+D_EU Marinas_Scenario_Calc'!H47</f>
        <v>#DIV/0!</v>
      </c>
      <c r="I52" s="76" t="e">
        <f>'Z+D_EU Marinas_Scenario_Calc'!I47</f>
        <v>#DIV/0!</v>
      </c>
      <c r="J52" s="91"/>
      <c r="K52" s="91"/>
      <c r="L52" s="91"/>
      <c r="M52" s="91"/>
    </row>
    <row r="53" spans="2:15" ht="14.25" x14ac:dyDescent="0.2">
      <c r="B53" s="103" t="s">
        <v>159</v>
      </c>
      <c r="C53" s="130" t="s">
        <v>160</v>
      </c>
      <c r="D53" s="75">
        <v>1</v>
      </c>
      <c r="E53" s="122" t="str">
        <f t="shared" si="0"/>
        <v>Zineb and DIDT</v>
      </c>
      <c r="F53" s="76" t="e">
        <f>'Z+D_EU Marinas_Scenario_Calc'!F48</f>
        <v>#DIV/0!</v>
      </c>
      <c r="G53" s="76" t="e">
        <f>'Z+D_EU Marinas_Scenario_Calc'!G48</f>
        <v>#DIV/0!</v>
      </c>
      <c r="H53" s="76" t="e">
        <f>'Z+D_EU Marinas_Scenario_Calc'!H48</f>
        <v>#DIV/0!</v>
      </c>
      <c r="I53" s="76" t="e">
        <f>'Z+D_EU Marinas_Scenario_Calc'!I48</f>
        <v>#DIV/0!</v>
      </c>
      <c r="J53" s="91"/>
      <c r="K53" s="91"/>
      <c r="L53" s="91"/>
      <c r="M53" s="91"/>
    </row>
    <row r="54" spans="2:15" ht="14.25" x14ac:dyDescent="0.2">
      <c r="B54" s="103" t="s">
        <v>161</v>
      </c>
      <c r="C54" s="130" t="s">
        <v>160</v>
      </c>
      <c r="D54" s="75">
        <v>2</v>
      </c>
      <c r="E54" s="122" t="str">
        <f t="shared" si="0"/>
        <v>Zineb and DIDT</v>
      </c>
      <c r="F54" s="76" t="e">
        <f>'Z+D_EU Marinas_Scenario_Calc'!F49</f>
        <v>#DIV/0!</v>
      </c>
      <c r="G54" s="76" t="e">
        <f>'Z+D_EU Marinas_Scenario_Calc'!G49</f>
        <v>#DIV/0!</v>
      </c>
      <c r="H54" s="76" t="e">
        <f>'Z+D_EU Marinas_Scenario_Calc'!H49</f>
        <v>#DIV/0!</v>
      </c>
      <c r="I54" s="76" t="e">
        <f>'Z+D_EU Marinas_Scenario_Calc'!I49</f>
        <v>#DIV/0!</v>
      </c>
      <c r="J54" s="91"/>
      <c r="K54" s="91"/>
      <c r="L54" s="91"/>
      <c r="M54" s="91"/>
    </row>
    <row r="55" spans="2:15" ht="14.25" x14ac:dyDescent="0.2">
      <c r="B55" s="103" t="s">
        <v>162</v>
      </c>
      <c r="C55" s="130" t="s">
        <v>160</v>
      </c>
      <c r="D55" s="75">
        <v>3</v>
      </c>
      <c r="E55" s="122" t="str">
        <f t="shared" si="0"/>
        <v>Zineb and DIDT</v>
      </c>
      <c r="F55" s="76" t="e">
        <f>'Z+D_EU Marinas_Scenario_Calc'!F50</f>
        <v>#DIV/0!</v>
      </c>
      <c r="G55" s="76" t="e">
        <f>'Z+D_EU Marinas_Scenario_Calc'!G50</f>
        <v>#DIV/0!</v>
      </c>
      <c r="H55" s="76" t="e">
        <f>'Z+D_EU Marinas_Scenario_Calc'!H50</f>
        <v>#DIV/0!</v>
      </c>
      <c r="I55" s="76" t="e">
        <f>'Z+D_EU Marinas_Scenario_Calc'!I50</f>
        <v>#DIV/0!</v>
      </c>
      <c r="J55" s="91"/>
      <c r="K55" s="91"/>
      <c r="L55" s="91"/>
      <c r="M55" s="91"/>
    </row>
    <row r="56" spans="2:15" ht="14.25" x14ac:dyDescent="0.2">
      <c r="B56" s="103" t="s">
        <v>163</v>
      </c>
      <c r="C56" s="130" t="s">
        <v>160</v>
      </c>
      <c r="D56" s="75">
        <v>4</v>
      </c>
      <c r="E56" s="122" t="str">
        <f t="shared" si="0"/>
        <v>Zineb and DIDT</v>
      </c>
      <c r="F56" s="76" t="e">
        <f>'Z+D_EU Marinas_Scenario_Calc'!F51</f>
        <v>#DIV/0!</v>
      </c>
      <c r="G56" s="76" t="e">
        <f>'Z+D_EU Marinas_Scenario_Calc'!G51</f>
        <v>#DIV/0!</v>
      </c>
      <c r="H56" s="76" t="e">
        <f>'Z+D_EU Marinas_Scenario_Calc'!H51</f>
        <v>#DIV/0!</v>
      </c>
      <c r="I56" s="76" t="e">
        <f>'Z+D_EU Marinas_Scenario_Calc'!I51</f>
        <v>#DIV/0!</v>
      </c>
      <c r="J56" s="91"/>
      <c r="K56" s="91"/>
      <c r="L56" s="91"/>
      <c r="M56" s="91"/>
    </row>
    <row r="57" spans="2:15" ht="14.25" x14ac:dyDescent="0.2">
      <c r="B57" s="103" t="s">
        <v>164</v>
      </c>
      <c r="C57" s="130" t="s">
        <v>160</v>
      </c>
      <c r="D57" s="75">
        <v>5</v>
      </c>
      <c r="E57" s="122" t="str">
        <f t="shared" si="0"/>
        <v>Zineb and DIDT</v>
      </c>
      <c r="F57" s="76" t="e">
        <f>'Z+D_EU Marinas_Scenario_Calc'!F52</f>
        <v>#DIV/0!</v>
      </c>
      <c r="G57" s="76" t="e">
        <f>'Z+D_EU Marinas_Scenario_Calc'!G52</f>
        <v>#DIV/0!</v>
      </c>
      <c r="H57" s="76" t="e">
        <f>'Z+D_EU Marinas_Scenario_Calc'!H52</f>
        <v>#DIV/0!</v>
      </c>
      <c r="I57" s="76" t="e">
        <f>'Z+D_EU Marinas_Scenario_Calc'!I52</f>
        <v>#DIV/0!</v>
      </c>
      <c r="J57" s="91"/>
      <c r="K57" s="91"/>
      <c r="L57" s="91"/>
      <c r="M57" s="91"/>
    </row>
    <row r="58" spans="2:15" ht="14.25" x14ac:dyDescent="0.2">
      <c r="B58" s="187" t="s">
        <v>96</v>
      </c>
      <c r="C58" s="187"/>
      <c r="D58" s="187"/>
      <c r="E58" s="187"/>
      <c r="F58" s="76" t="e">
        <f>'Z+D_EU Marinas_Scenario_Calc'!F55</f>
        <v>#DIV/0!</v>
      </c>
      <c r="G58" s="76" t="e">
        <f>'Z+D_EU Marinas_Scenario_Calc'!G55</f>
        <v>#DIV/0!</v>
      </c>
      <c r="H58" s="76" t="e">
        <f>'Z+D_EU Marinas_Scenario_Calc'!H55</f>
        <v>#DIV/0!</v>
      </c>
      <c r="I58" s="76" t="e">
        <f>'Z+D_EU Marinas_Scenario_Calc'!I55</f>
        <v>#DIV/0!</v>
      </c>
      <c r="J58" s="91"/>
      <c r="K58" s="91"/>
      <c r="L58" s="91"/>
      <c r="M58" s="91"/>
    </row>
    <row r="59" spans="2:15" ht="14.25" x14ac:dyDescent="0.2">
      <c r="B59" s="187" t="s">
        <v>14</v>
      </c>
      <c r="C59" s="187"/>
      <c r="D59" s="187"/>
      <c r="E59" s="187"/>
      <c r="F59" s="76" t="e">
        <f>'Z+D_EU Marinas_Scenario_Calc'!F53</f>
        <v>#DIV/0!</v>
      </c>
      <c r="G59" s="76" t="e">
        <f>'Z+D_EU Marinas_Scenario_Calc'!G53</f>
        <v>#DIV/0!</v>
      </c>
      <c r="H59" s="76" t="e">
        <f>'Z+D_EU Marinas_Scenario_Calc'!H53</f>
        <v>#DIV/0!</v>
      </c>
      <c r="I59" s="76" t="e">
        <f>'Z+D_EU Marinas_Scenario_Calc'!I53</f>
        <v>#DIV/0!</v>
      </c>
      <c r="J59" s="91"/>
      <c r="K59" s="91"/>
      <c r="L59" s="91"/>
      <c r="M59" s="91"/>
    </row>
    <row r="60" spans="2:15" ht="14.25" x14ac:dyDescent="0.2">
      <c r="B60" s="187" t="s">
        <v>15</v>
      </c>
      <c r="C60" s="187"/>
      <c r="D60" s="187"/>
      <c r="E60" s="187"/>
      <c r="F60" s="76" t="e">
        <f>'Z+D_EU Marinas_Scenario_Calc'!F54</f>
        <v>#DIV/0!</v>
      </c>
      <c r="G60" s="76" t="e">
        <f>'Z+D_EU Marinas_Scenario_Calc'!G54</f>
        <v>#DIV/0!</v>
      </c>
      <c r="H60" s="76" t="e">
        <f>'Z+D_EU Marinas_Scenario_Calc'!H54</f>
        <v>#DIV/0!</v>
      </c>
      <c r="I60" s="76" t="e">
        <f>'Z+D_EU Marinas_Scenario_Calc'!I54</f>
        <v>#DIV/0!</v>
      </c>
      <c r="J60" s="91"/>
      <c r="K60" s="91"/>
      <c r="L60" s="91"/>
      <c r="M60" s="91"/>
    </row>
    <row r="61" spans="2:15" x14ac:dyDescent="0.2">
      <c r="C61" s="3"/>
      <c r="J61" s="91"/>
      <c r="K61" s="91"/>
      <c r="L61" s="91"/>
      <c r="M61" s="91"/>
    </row>
    <row r="62" spans="2:15" x14ac:dyDescent="0.2">
      <c r="B62"/>
      <c r="C62" s="128"/>
      <c r="D62"/>
      <c r="E62"/>
      <c r="F62"/>
      <c r="G62"/>
      <c r="H62"/>
      <c r="I62"/>
      <c r="J62" s="91"/>
      <c r="K62" s="91"/>
      <c r="L62" s="91"/>
      <c r="M62" s="91"/>
    </row>
    <row r="63" spans="2:15" x14ac:dyDescent="0.2">
      <c r="B63" s="67"/>
      <c r="C63" s="131"/>
      <c r="D63" s="67"/>
      <c r="E63" s="68"/>
      <c r="F63" s="69"/>
      <c r="G63" s="69"/>
      <c r="H63" s="69"/>
      <c r="I63" s="69"/>
      <c r="J63" s="91"/>
      <c r="K63" s="91"/>
      <c r="L63" s="91"/>
      <c r="M63" s="91"/>
      <c r="N63" s="15"/>
      <c r="O63" s="15"/>
    </row>
    <row r="64" spans="2:15" x14ac:dyDescent="0.2">
      <c r="B64" s="67"/>
      <c r="C64" s="131"/>
      <c r="D64" s="67"/>
      <c r="E64" s="68"/>
      <c r="F64" s="69"/>
      <c r="G64" s="69"/>
      <c r="H64" s="69"/>
      <c r="I64" s="69"/>
      <c r="J64" s="91"/>
      <c r="K64" s="91"/>
      <c r="L64" s="91"/>
      <c r="M64" s="91"/>
      <c r="N64" s="15"/>
      <c r="O64" s="15"/>
    </row>
    <row r="65" spans="2:15" x14ac:dyDescent="0.2">
      <c r="B65" s="67"/>
      <c r="C65" s="131"/>
      <c r="D65" s="67"/>
      <c r="E65" s="68"/>
      <c r="F65" s="69"/>
      <c r="G65" s="69"/>
      <c r="H65" s="69"/>
      <c r="I65" s="69"/>
      <c r="J65" s="91"/>
      <c r="K65" s="91"/>
      <c r="L65" s="91"/>
      <c r="M65" s="91"/>
      <c r="N65" s="15"/>
      <c r="O65" s="15"/>
    </row>
    <row r="66" spans="2:15" x14ac:dyDescent="0.2">
      <c r="B66" s="67"/>
      <c r="C66" s="131"/>
      <c r="D66" s="67"/>
      <c r="E66" s="68"/>
      <c r="F66" s="69"/>
      <c r="G66" s="69"/>
      <c r="H66" s="69"/>
      <c r="I66" s="69"/>
      <c r="J66" s="91"/>
      <c r="K66" s="91"/>
      <c r="L66" s="91"/>
      <c r="M66" s="91"/>
      <c r="N66" s="15"/>
      <c r="O66" s="15"/>
    </row>
    <row r="67" spans="2:15" x14ac:dyDescent="0.2">
      <c r="B67" s="67"/>
      <c r="C67" s="131"/>
      <c r="D67" s="67"/>
      <c r="E67" s="68"/>
      <c r="F67" s="69"/>
      <c r="G67" s="69"/>
      <c r="H67" s="69"/>
      <c r="I67" s="69"/>
      <c r="J67" s="91"/>
      <c r="K67" s="91"/>
      <c r="L67" s="91"/>
      <c r="M67" s="91"/>
      <c r="N67" s="15"/>
      <c r="O67" s="15"/>
    </row>
    <row r="68" spans="2:15" x14ac:dyDescent="0.2">
      <c r="B68" s="67"/>
      <c r="C68" s="131"/>
      <c r="D68" s="67"/>
      <c r="E68" s="68"/>
      <c r="F68" s="69"/>
      <c r="G68" s="69"/>
      <c r="H68" s="69"/>
      <c r="I68" s="69"/>
      <c r="J68" s="91"/>
      <c r="K68" s="91"/>
      <c r="L68" s="91"/>
      <c r="M68" s="91"/>
      <c r="N68" s="15"/>
      <c r="O68" s="15"/>
    </row>
    <row r="69" spans="2:15" x14ac:dyDescent="0.2">
      <c r="B69" s="67"/>
      <c r="C69" s="131"/>
      <c r="D69" s="67"/>
      <c r="E69" s="68"/>
      <c r="F69" s="69"/>
      <c r="G69" s="69"/>
      <c r="H69" s="69"/>
      <c r="I69" s="69"/>
      <c r="J69" s="91"/>
      <c r="K69" s="91"/>
      <c r="L69" s="91"/>
      <c r="M69" s="91"/>
      <c r="N69" s="15"/>
      <c r="O69" s="15"/>
    </row>
    <row r="70" spans="2:15" x14ac:dyDescent="0.2">
      <c r="B70" s="67"/>
      <c r="C70" s="131"/>
      <c r="D70" s="67"/>
      <c r="E70" s="68"/>
      <c r="F70" s="69"/>
      <c r="G70" s="69"/>
      <c r="H70" s="69"/>
      <c r="I70" s="69"/>
      <c r="J70" s="91"/>
      <c r="K70" s="91"/>
      <c r="L70" s="91"/>
      <c r="M70" s="91"/>
      <c r="N70" s="15"/>
      <c r="O70" s="15"/>
    </row>
    <row r="71" spans="2:15" x14ac:dyDescent="0.2">
      <c r="B71" s="67"/>
      <c r="C71" s="131"/>
      <c r="D71" s="67"/>
      <c r="E71" s="68"/>
      <c r="F71" s="69"/>
      <c r="G71" s="69"/>
      <c r="H71" s="69"/>
      <c r="I71" s="69"/>
      <c r="J71" s="91"/>
      <c r="K71" s="91"/>
      <c r="L71" s="91"/>
      <c r="M71" s="91"/>
      <c r="N71" s="15"/>
      <c r="O71" s="15"/>
    </row>
    <row r="72" spans="2:15" x14ac:dyDescent="0.2">
      <c r="B72" s="67"/>
      <c r="C72" s="131"/>
      <c r="D72" s="67"/>
      <c r="E72" s="68"/>
      <c r="F72" s="69"/>
      <c r="G72" s="69"/>
      <c r="H72" s="69"/>
      <c r="I72" s="69"/>
      <c r="J72" s="91"/>
      <c r="K72" s="91"/>
      <c r="L72" s="91"/>
      <c r="M72" s="91"/>
      <c r="N72" s="15"/>
      <c r="O72" s="15"/>
    </row>
    <row r="73" spans="2:15" x14ac:dyDescent="0.2">
      <c r="B73" s="67"/>
      <c r="C73" s="131"/>
      <c r="D73" s="67"/>
      <c r="E73" s="68"/>
      <c r="F73" s="69"/>
      <c r="G73" s="69"/>
      <c r="H73" s="69"/>
      <c r="I73" s="69"/>
      <c r="J73" s="67"/>
      <c r="K73" s="67"/>
      <c r="L73" s="67"/>
      <c r="M73" s="67"/>
      <c r="N73" s="15"/>
      <c r="O73" s="15"/>
    </row>
    <row r="74" spans="2:15" x14ac:dyDescent="0.2">
      <c r="B74" s="67"/>
      <c r="C74" s="131"/>
      <c r="D74" s="67"/>
      <c r="E74" s="68"/>
      <c r="F74" s="69"/>
      <c r="G74" s="69"/>
      <c r="H74" s="69"/>
      <c r="I74" s="69"/>
      <c r="J74" s="67"/>
      <c r="K74" s="67"/>
      <c r="L74" s="67"/>
      <c r="M74" s="67"/>
      <c r="N74" s="15"/>
      <c r="O74" s="15"/>
    </row>
    <row r="75" spans="2:15" x14ac:dyDescent="0.2">
      <c r="B75" s="67"/>
      <c r="C75" s="131"/>
      <c r="D75" s="67"/>
      <c r="E75" s="68"/>
      <c r="F75" s="69"/>
      <c r="G75" s="69"/>
      <c r="H75" s="69"/>
      <c r="I75" s="69"/>
      <c r="J75" s="67"/>
      <c r="K75" s="67"/>
      <c r="L75" s="67"/>
      <c r="M75" s="67"/>
      <c r="N75" s="15"/>
      <c r="O75" s="15"/>
    </row>
    <row r="76" spans="2:15" x14ac:dyDescent="0.2">
      <c r="B76" s="67"/>
      <c r="C76" s="131"/>
      <c r="D76" s="67"/>
      <c r="E76" s="68"/>
      <c r="F76" s="69"/>
      <c r="G76" s="69"/>
      <c r="H76" s="69"/>
      <c r="I76" s="69"/>
      <c r="J76" s="67"/>
      <c r="K76" s="67"/>
      <c r="L76" s="67"/>
      <c r="M76" s="67"/>
      <c r="N76" s="15"/>
      <c r="O76" s="15"/>
    </row>
    <row r="77" spans="2:15" x14ac:dyDescent="0.2">
      <c r="B77" s="67"/>
      <c r="C77" s="131"/>
      <c r="D77" s="67"/>
      <c r="E77" s="68"/>
      <c r="F77" s="69"/>
      <c r="G77" s="69"/>
      <c r="H77" s="69"/>
      <c r="I77" s="69"/>
      <c r="J77" s="67"/>
      <c r="K77" s="67"/>
      <c r="L77" s="67"/>
      <c r="M77" s="67"/>
      <c r="N77" s="15"/>
      <c r="O77" s="15"/>
    </row>
    <row r="78" spans="2:15" x14ac:dyDescent="0.2">
      <c r="B78" s="15"/>
      <c r="C78" s="132"/>
      <c r="D78" s="15"/>
      <c r="E78" s="15"/>
      <c r="F78" s="15"/>
      <c r="G78" s="15"/>
      <c r="H78" s="15"/>
      <c r="I78" s="15"/>
      <c r="J78" s="15"/>
      <c r="K78" s="15"/>
      <c r="L78" s="15"/>
      <c r="M78" s="15"/>
      <c r="N78" s="15"/>
      <c r="O78" s="15"/>
    </row>
    <row r="79" spans="2:15" x14ac:dyDescent="0.2">
      <c r="B79" s="15"/>
      <c r="C79" s="132"/>
      <c r="D79" s="15"/>
      <c r="E79" s="15"/>
      <c r="F79" s="15"/>
      <c r="G79" s="15"/>
      <c r="H79" s="15"/>
      <c r="I79" s="15"/>
      <c r="J79" s="15"/>
      <c r="K79" s="15"/>
      <c r="L79" s="15"/>
      <c r="M79" s="15"/>
      <c r="N79" s="15"/>
      <c r="O79" s="15"/>
    </row>
  </sheetData>
  <mergeCells count="10">
    <mergeCell ref="B58:E58"/>
    <mergeCell ref="B59:E59"/>
    <mergeCell ref="B60:E60"/>
    <mergeCell ref="B2:N2"/>
    <mergeCell ref="B8:F8"/>
    <mergeCell ref="B7:F7"/>
    <mergeCell ref="B6:F6"/>
    <mergeCell ref="B5:F5"/>
    <mergeCell ref="B4:G4"/>
    <mergeCell ref="B10:I10"/>
  </mergeCells>
  <conditionalFormatting sqref="F12:I60">
    <cfRule type="cellIs" dxfId="17" priority="1" operator="lessThan">
      <formula>1</formula>
    </cfRule>
    <cfRule type="cellIs" dxfId="16" priority="2" operator="greaterThan">
      <formula>1</formula>
    </cfRule>
    <cfRule type="cellIs" dxfId="15" priority="3"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44</vt:i4>
      </vt:variant>
    </vt:vector>
  </HeadingPairs>
  <TitlesOfParts>
    <vt:vector size="66" baseType="lpstr">
      <vt:lpstr> Introduction</vt:lpstr>
      <vt:lpstr>Instructions</vt:lpstr>
      <vt:lpstr>Index</vt:lpstr>
      <vt:lpstr>Z_User_Input</vt:lpstr>
      <vt:lpstr>D_User_Input</vt:lpstr>
      <vt:lpstr>Z+D_Output_Summary</vt:lpstr>
      <vt:lpstr>Z_Output_Summary</vt:lpstr>
      <vt:lpstr>D_Output_Summary</vt:lpstr>
      <vt:lpstr>Z+D_Output_EU marinas</vt:lpstr>
      <vt:lpstr>Z+D_Output_Regulatory_Marinas</vt:lpstr>
      <vt:lpstr>Z_Output_EU marinas</vt:lpstr>
      <vt:lpstr>Z_Output_Regulatory_Marinas</vt:lpstr>
      <vt:lpstr>D_Output_EU marinas</vt:lpstr>
      <vt:lpstr>D_Output_Regulatory_Marinas</vt:lpstr>
      <vt:lpstr>Zineb_Input</vt:lpstr>
      <vt:lpstr>DIDT_Input</vt:lpstr>
      <vt:lpstr>Z+D_EU Marinas_Scenario_Calc</vt:lpstr>
      <vt:lpstr>Z+D_Regulatory_ Marinas_Calc</vt:lpstr>
      <vt:lpstr>Z_EU Marinas_Scenario_Calc</vt:lpstr>
      <vt:lpstr>Z_Regulatory_ Marinas_Calc</vt:lpstr>
      <vt:lpstr>D_EU Marinas_Scenario_Calc</vt:lpstr>
      <vt:lpstr>D_Regulatory_ Marinas_Calc</vt:lpstr>
      <vt:lpstr>Application_Conversion_Factor</vt:lpstr>
      <vt:lpstr>Application_Factor</vt:lpstr>
      <vt:lpstr>D_User_Input!D_a</vt:lpstr>
      <vt:lpstr>D_Average_biocide_release_over_the_lifetime_of_the_paint_C</vt:lpstr>
      <vt:lpstr>D_Average_biocide_release_over_the_lifetime_of_the_paint_M</vt:lpstr>
      <vt:lpstr>D_Background_Sed_Freshwater</vt:lpstr>
      <vt:lpstr>D_Background_SW_Freshwater</vt:lpstr>
      <vt:lpstr>D_Compound_Name</vt:lpstr>
      <vt:lpstr>D_User_Input!D_DFT</vt:lpstr>
      <vt:lpstr>D_User_Input!D_La</vt:lpstr>
      <vt:lpstr>D_Leaching_Conversion_Factor</vt:lpstr>
      <vt:lpstr>D_User_Input!D_Mrel</vt:lpstr>
      <vt:lpstr>D_PNEC_Aquatic_Inside</vt:lpstr>
      <vt:lpstr>D_PNEC_Aquatic_Surrounding</vt:lpstr>
      <vt:lpstr>D_PNEC_Sediment_Inside</vt:lpstr>
      <vt:lpstr>D_PNEC_Sediment_Surrounding</vt:lpstr>
      <vt:lpstr>D_User_Input!D_t</vt:lpstr>
      <vt:lpstr>D_User_Input!D_VS</vt:lpstr>
      <vt:lpstr>D_User_Input!D_ƿ</vt:lpstr>
      <vt:lpstr>D_User_Input!D_Wa</vt:lpstr>
      <vt:lpstr>Substance</vt:lpstr>
      <vt:lpstr>Tooltype</vt:lpstr>
      <vt:lpstr>Version</vt:lpstr>
      <vt:lpstr>WSA_ConversionFactor</vt:lpstr>
      <vt:lpstr>WSA_freshwater</vt:lpstr>
      <vt:lpstr>WSA_OECD_default</vt:lpstr>
      <vt:lpstr>Z_a</vt:lpstr>
      <vt:lpstr>Z_Average_biocide_release_over_the_lifetime_of_the_paint_C</vt:lpstr>
      <vt:lpstr>Z_Average_biocide_release_over_the_lifetime_of_the_paint_M</vt:lpstr>
      <vt:lpstr>Z_Background_Sed_Freshwater</vt:lpstr>
      <vt:lpstr>Z_Background_SW_Freshwater</vt:lpstr>
      <vt:lpstr>Z_Compound_Name</vt:lpstr>
      <vt:lpstr>Z_DFT</vt:lpstr>
      <vt:lpstr>Z_La</vt:lpstr>
      <vt:lpstr>Z_Leaching_Conversion_Factor</vt:lpstr>
      <vt:lpstr>Z_Mrel</vt:lpstr>
      <vt:lpstr>Z_PNEC_Aquatic_Inside</vt:lpstr>
      <vt:lpstr>Z_PNEC_Aquatic_Surrounding</vt:lpstr>
      <vt:lpstr>Z_PNEC_Sediment_Inside</vt:lpstr>
      <vt:lpstr>Z_PNEC_Sediment_Surrounding</vt:lpstr>
      <vt:lpstr>Z_t</vt:lpstr>
      <vt:lpstr>Z_VS</vt:lpstr>
      <vt:lpstr>Z_ƿ</vt:lpstr>
      <vt:lpstr>Z_Wa</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2017-10-13T15:15:51Z</dcterms:modified>
</cp:coreProperties>
</file>